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TODOS" sheetId="1" r:id="rId1"/>
  </sheets>
  <definedNames/>
  <calcPr fullCalcOnLoad="1"/>
</workbook>
</file>

<file path=xl/sharedStrings.xml><?xml version="1.0" encoding="utf-8"?>
<sst xmlns="http://schemas.openxmlformats.org/spreadsheetml/2006/main" count="713" uniqueCount="134">
  <si>
    <t>TPOX</t>
  </si>
  <si>
    <t>TH01</t>
  </si>
  <si>
    <t>CSF1PO</t>
  </si>
  <si>
    <t>FGA</t>
  </si>
  <si>
    <t>D08S1179</t>
  </si>
  <si>
    <t>PENTAE</t>
  </si>
  <si>
    <t>D02S1338</t>
  </si>
  <si>
    <t>D19S433</t>
  </si>
  <si>
    <t>D12S391</t>
  </si>
  <si>
    <t>D01S1656</t>
  </si>
  <si>
    <t>D18S535</t>
  </si>
  <si>
    <t>D16S2622</t>
  </si>
  <si>
    <t>D01S1612</t>
  </si>
  <si>
    <t>D02S1353</t>
  </si>
  <si>
    <t>D03S2387</t>
  </si>
  <si>
    <t>D04S2431</t>
  </si>
  <si>
    <t>D18S1270</t>
  </si>
  <si>
    <t>D05S2501</t>
  </si>
  <si>
    <t>D15S657</t>
  </si>
  <si>
    <t>D10S1237</t>
  </si>
  <si>
    <t>IFNAR</t>
  </si>
  <si>
    <t>SE33</t>
  </si>
  <si>
    <t>D10S2325</t>
  </si>
  <si>
    <t>D08S1119</t>
  </si>
  <si>
    <t>P53</t>
  </si>
  <si>
    <t>D21S1270</t>
  </si>
  <si>
    <t>D21S1446</t>
  </si>
  <si>
    <t>D17S1293</t>
  </si>
  <si>
    <t>D02S1780</t>
  </si>
  <si>
    <t>D08S1130</t>
  </si>
  <si>
    <t>D04S1644</t>
  </si>
  <si>
    <t>D06S1031</t>
  </si>
  <si>
    <t>D03S2406</t>
  </si>
  <si>
    <t>D09S938</t>
  </si>
  <si>
    <t>D13S308</t>
  </si>
  <si>
    <t>D22S685</t>
  </si>
  <si>
    <t>D11S1392</t>
  </si>
  <si>
    <t>D03S2398</t>
  </si>
  <si>
    <t>D21S1280</t>
  </si>
  <si>
    <t>D14S742</t>
  </si>
  <si>
    <t>D03S1358</t>
  </si>
  <si>
    <t>D13S317</t>
  </si>
  <si>
    <t>D21S11</t>
  </si>
  <si>
    <t>D18S51</t>
  </si>
  <si>
    <t>PENTAD</t>
  </si>
  <si>
    <t>VWA</t>
  </si>
  <si>
    <t>Loco</t>
  </si>
  <si>
    <t>D05S818</t>
  </si>
  <si>
    <t>D16S539</t>
  </si>
  <si>
    <t>D07S820</t>
  </si>
  <si>
    <t>ELNI</t>
  </si>
  <si>
    <t>PLA2A1</t>
  </si>
  <si>
    <t>FABP2</t>
  </si>
  <si>
    <t>CD4</t>
  </si>
  <si>
    <t>RENA4</t>
  </si>
  <si>
    <t>D09S304</t>
  </si>
  <si>
    <t>D21S1245</t>
  </si>
  <si>
    <t>D13S258</t>
  </si>
  <si>
    <t>D16S673</t>
  </si>
  <si>
    <t>D13S631</t>
  </si>
  <si>
    <t>D16S685</t>
  </si>
  <si>
    <t>D071870</t>
  </si>
  <si>
    <t>LINK1GT</t>
  </si>
  <si>
    <t>ELASTIN</t>
  </si>
  <si>
    <t>GABRB3</t>
  </si>
  <si>
    <t>D15S11</t>
  </si>
  <si>
    <t>D22S944</t>
  </si>
  <si>
    <t>D22S264</t>
  </si>
  <si>
    <t>D22S941</t>
  </si>
  <si>
    <t>D05S346</t>
  </si>
  <si>
    <t>D17S250</t>
  </si>
  <si>
    <t>D02S123</t>
  </si>
  <si>
    <t>D22S692</t>
  </si>
  <si>
    <t>D22S686</t>
  </si>
  <si>
    <t>D22S691</t>
  </si>
  <si>
    <t>PDGFRA</t>
  </si>
  <si>
    <t>D19S553</t>
  </si>
  <si>
    <t>D21S1246</t>
  </si>
  <si>
    <t>D18S819</t>
  </si>
  <si>
    <t>D18S390</t>
  </si>
  <si>
    <t>rs3917</t>
  </si>
  <si>
    <t>rs4181</t>
  </si>
  <si>
    <t>rs4183</t>
  </si>
  <si>
    <t>rs16343</t>
  </si>
  <si>
    <t>rs16381</t>
  </si>
  <si>
    <t>rs16394</t>
  </si>
  <si>
    <t>rs16415</t>
  </si>
  <si>
    <t>rs16416</t>
  </si>
  <si>
    <t>rs16430</t>
  </si>
  <si>
    <t>rs16438</t>
  </si>
  <si>
    <t>rs16448</t>
  </si>
  <si>
    <t>rs16695</t>
  </si>
  <si>
    <t>rs16715</t>
  </si>
  <si>
    <t>rs140709</t>
  </si>
  <si>
    <t>rs140733</t>
  </si>
  <si>
    <t>rs140757</t>
  </si>
  <si>
    <t>rs140759</t>
  </si>
  <si>
    <t>rs1305047</t>
  </si>
  <si>
    <t>rs1610874</t>
  </si>
  <si>
    <t>rs1610942</t>
  </si>
  <si>
    <t>rs1610997</t>
  </si>
  <si>
    <t>rs1611001</t>
  </si>
  <si>
    <t>rs1611084</t>
  </si>
  <si>
    <t>rs2067180</t>
  </si>
  <si>
    <t>rs2067188</t>
  </si>
  <si>
    <t>rs2067217</t>
  </si>
  <si>
    <t>rs2067373</t>
  </si>
  <si>
    <t>rs2307548</t>
  </si>
  <si>
    <t>rs2307624</t>
  </si>
  <si>
    <t>rs2307733</t>
  </si>
  <si>
    <t>rs2307745</t>
  </si>
  <si>
    <t>rs2307782</t>
  </si>
  <si>
    <t>rs2307838</t>
  </si>
  <si>
    <t>rs2307850</t>
  </si>
  <si>
    <t>rs2307955</t>
  </si>
  <si>
    <t>rs2307959</t>
  </si>
  <si>
    <t>rs2308043</t>
  </si>
  <si>
    <t>rs2308057</t>
  </si>
  <si>
    <t>rs2308135</t>
  </si>
  <si>
    <t>rs2308144</t>
  </si>
  <si>
    <t>D13S797</t>
  </si>
  <si>
    <t>D13S634</t>
  </si>
  <si>
    <t>D13S252</t>
  </si>
  <si>
    <t>D18S386</t>
  </si>
  <si>
    <t>D18S978</t>
  </si>
  <si>
    <t>D18S976</t>
  </si>
  <si>
    <t>D21S1444</t>
  </si>
  <si>
    <t>D21S1435</t>
  </si>
  <si>
    <t>D21S1437</t>
  </si>
  <si>
    <t>D18S34</t>
  </si>
  <si>
    <t>0,1330</t>
  </si>
  <si>
    <t>0;0375</t>
  </si>
  <si>
    <t>Alelo</t>
  </si>
  <si>
    <t>Frequência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</si>
</sst>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  <numFmt numFmtId="180" formatCode="###0;###0"/>
    <numFmt numFmtId="181" formatCode="###0.0;###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0"/>
      <color rgb="FF000000"/>
      <name val="Times New Roman"/>
      <family val="2"/>
    </font>
    <font>
      <b/>
      <sz val="10"/>
      <color rgb="FFFFFFFF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/>
    </xf>
    <xf numFmtId="165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5" xfId="0" applyFont="1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left" vertical="top" wrapText="1"/>
    </xf>
    <xf numFmtId="180" fontId="49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left" vertical="top"/>
    </xf>
    <xf numFmtId="181" fontId="49" fillId="33" borderId="10" xfId="0" applyNumberFormat="1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165" fontId="51" fillId="33" borderId="0" xfId="0" applyNumberFormat="1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9"/>
  <sheetViews>
    <sheetView tabSelected="1"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1" width="20.00390625" style="13" customWidth="1"/>
    <col min="2" max="2" width="9.140625" style="12" customWidth="1"/>
    <col min="3" max="3" width="11.7109375" style="2" bestFit="1" customWidth="1"/>
    <col min="4" max="5" width="9.140625" style="13" customWidth="1"/>
    <col min="6" max="6" width="11.7109375" style="2" bestFit="1" customWidth="1"/>
    <col min="7" max="16384" width="9.140625" style="13" customWidth="1"/>
  </cols>
  <sheetData>
    <row r="1" spans="1:3" ht="12.75">
      <c r="A1" s="21" t="s">
        <v>46</v>
      </c>
      <c r="B1" s="22" t="s">
        <v>132</v>
      </c>
      <c r="C1" s="23" t="s">
        <v>133</v>
      </c>
    </row>
    <row r="2" spans="1:3" ht="12.75">
      <c r="A2" s="1" t="s">
        <v>53</v>
      </c>
      <c r="B2" s="14">
        <v>7</v>
      </c>
      <c r="C2" s="15">
        <v>0.3478</v>
      </c>
    </row>
    <row r="3" spans="1:3" ht="12.75">
      <c r="A3" s="1" t="s">
        <v>53</v>
      </c>
      <c r="B3" s="1">
        <v>8</v>
      </c>
      <c r="C3" s="2">
        <f>2628/10000</f>
        <v>0.2628</v>
      </c>
    </row>
    <row r="4" spans="1:3" ht="12.75">
      <c r="A4" s="1" t="s">
        <v>53</v>
      </c>
      <c r="B4" s="1">
        <v>10</v>
      </c>
      <c r="C4" s="2">
        <f>224/10000</f>
        <v>0.0224</v>
      </c>
    </row>
    <row r="5" spans="1:3" ht="12.75">
      <c r="A5" s="1" t="s">
        <v>53</v>
      </c>
      <c r="B5" s="1">
        <v>12</v>
      </c>
      <c r="C5" s="2">
        <v>0.3221</v>
      </c>
    </row>
    <row r="6" spans="1:3" ht="12.75">
      <c r="A6" s="1" t="s">
        <v>53</v>
      </c>
      <c r="B6" s="1">
        <v>13</v>
      </c>
      <c r="C6" s="2">
        <f>224/10000</f>
        <v>0.0224</v>
      </c>
    </row>
    <row r="7" spans="1:3" ht="12.75">
      <c r="A7" s="1" t="s">
        <v>53</v>
      </c>
      <c r="B7" s="1">
        <v>14</v>
      </c>
      <c r="C7" s="2">
        <f>224/10000</f>
        <v>0.0224</v>
      </c>
    </row>
    <row r="8" spans="1:3" ht="12.75">
      <c r="A8" s="1" t="s">
        <v>2</v>
      </c>
      <c r="B8" s="1">
        <v>8</v>
      </c>
      <c r="C8" s="2">
        <f>20/980</f>
        <v>0.02040816326530612</v>
      </c>
    </row>
    <row r="9" spans="1:3" ht="12.75">
      <c r="A9" s="1" t="s">
        <v>2</v>
      </c>
      <c r="B9" s="1">
        <v>9</v>
      </c>
      <c r="C9" s="2">
        <f>26/980</f>
        <v>0.026530612244897958</v>
      </c>
    </row>
    <row r="10" spans="1:3" ht="12.75">
      <c r="A10" s="1" t="s">
        <v>2</v>
      </c>
      <c r="B10" s="1">
        <v>10</v>
      </c>
      <c r="C10" s="2">
        <f>259/980</f>
        <v>0.2642857142857143</v>
      </c>
    </row>
    <row r="11" spans="1:3" ht="12.75">
      <c r="A11" s="1" t="s">
        <v>2</v>
      </c>
      <c r="B11" s="1">
        <v>11</v>
      </c>
      <c r="C11" s="2">
        <v>0.3326530612244898</v>
      </c>
    </row>
    <row r="12" spans="1:3" ht="12.75">
      <c r="A12" s="1" t="s">
        <v>2</v>
      </c>
      <c r="B12" s="1">
        <v>12</v>
      </c>
      <c r="C12" s="2">
        <v>0.2979591836734694</v>
      </c>
    </row>
    <row r="13" spans="1:3" ht="12.75">
      <c r="A13" s="1" t="s">
        <v>2</v>
      </c>
      <c r="B13" s="1">
        <v>13</v>
      </c>
      <c r="C13" s="2">
        <v>0.0581632653061224</v>
      </c>
    </row>
    <row r="14" spans="1:3" ht="12.75">
      <c r="A14" s="1" t="s">
        <v>12</v>
      </c>
      <c r="B14" s="1">
        <v>9</v>
      </c>
      <c r="C14" s="2">
        <f>36/992</f>
        <v>0.036290322580645164</v>
      </c>
    </row>
    <row r="15" spans="1:3" ht="12.75">
      <c r="A15" s="1" t="s">
        <v>12</v>
      </c>
      <c r="B15" s="1">
        <v>10</v>
      </c>
      <c r="C15" s="2">
        <v>0.27419354838709675</v>
      </c>
    </row>
    <row r="16" spans="1:3" ht="12.75">
      <c r="A16" s="1" t="s">
        <v>12</v>
      </c>
      <c r="B16" s="1">
        <v>11</v>
      </c>
      <c r="C16" s="2">
        <v>0.0715725806451613</v>
      </c>
    </row>
    <row r="17" spans="1:3" ht="12.75">
      <c r="A17" s="1" t="s">
        <v>12</v>
      </c>
      <c r="B17" s="1">
        <v>12</v>
      </c>
      <c r="C17" s="2">
        <f>43/920</f>
        <v>0.04673913043478261</v>
      </c>
    </row>
    <row r="18" spans="1:3" ht="12.75">
      <c r="A18" s="1" t="s">
        <v>12</v>
      </c>
      <c r="B18" s="1">
        <v>13</v>
      </c>
      <c r="C18" s="2">
        <f>90/920</f>
        <v>0.09782608695652174</v>
      </c>
    </row>
    <row r="19" spans="1:3" ht="12.75">
      <c r="A19" s="1" t="s">
        <v>12</v>
      </c>
      <c r="B19" s="1">
        <v>14</v>
      </c>
      <c r="C19" s="2">
        <f>144/920</f>
        <v>0.1565217391304348</v>
      </c>
    </row>
    <row r="20" spans="1:3" ht="12.75">
      <c r="A20" s="1" t="s">
        <v>12</v>
      </c>
      <c r="B20" s="1">
        <v>15</v>
      </c>
      <c r="C20" s="2">
        <f>128/920</f>
        <v>0.1391304347826087</v>
      </c>
    </row>
    <row r="21" spans="1:3" ht="12.75">
      <c r="A21" s="1" t="s">
        <v>12</v>
      </c>
      <c r="B21" s="1">
        <v>16</v>
      </c>
      <c r="C21" s="2">
        <v>0.12173913043478261</v>
      </c>
    </row>
    <row r="22" spans="1:3" ht="12.75">
      <c r="A22" s="1" t="s">
        <v>12</v>
      </c>
      <c r="B22" s="1">
        <v>17</v>
      </c>
      <c r="C22" s="2">
        <f>66/920</f>
        <v>0.07173913043478261</v>
      </c>
    </row>
    <row r="23" spans="1:3" ht="12.75">
      <c r="A23" s="1" t="s">
        <v>12</v>
      </c>
      <c r="B23" s="1">
        <v>18</v>
      </c>
      <c r="C23" s="2">
        <f>30/920</f>
        <v>0.03260869565217391</v>
      </c>
    </row>
    <row r="24" spans="1:3" ht="12.75">
      <c r="A24" s="1" t="s">
        <v>9</v>
      </c>
      <c r="B24" s="1">
        <v>11</v>
      </c>
      <c r="C24" s="2">
        <f>84/999</f>
        <v>0.08408408408408409</v>
      </c>
    </row>
    <row r="25" spans="1:3" ht="12.75">
      <c r="A25" s="1" t="s">
        <v>9</v>
      </c>
      <c r="B25" s="1">
        <v>12</v>
      </c>
      <c r="C25" s="2">
        <f>159/999</f>
        <v>0.15915915915915915</v>
      </c>
    </row>
    <row r="26" spans="1:3" ht="12.75">
      <c r="A26" s="1" t="s">
        <v>9</v>
      </c>
      <c r="B26" s="1">
        <v>13</v>
      </c>
      <c r="C26" s="2">
        <f>72/999</f>
        <v>0.07207207207207207</v>
      </c>
    </row>
    <row r="27" spans="1:3" ht="12.75">
      <c r="A27" s="1" t="s">
        <v>9</v>
      </c>
      <c r="B27" s="1">
        <v>14</v>
      </c>
      <c r="C27" s="2">
        <f>87/999</f>
        <v>0.08708708708708708</v>
      </c>
    </row>
    <row r="28" spans="1:3" ht="12.75">
      <c r="A28" s="1" t="s">
        <v>9</v>
      </c>
      <c r="B28" s="1">
        <v>15</v>
      </c>
      <c r="C28" s="2">
        <f>184/999</f>
        <v>0.1841841841841842</v>
      </c>
    </row>
    <row r="29" spans="1:3" ht="12.75">
      <c r="A29" s="1" t="s">
        <v>9</v>
      </c>
      <c r="B29" s="1">
        <v>15.3</v>
      </c>
      <c r="C29" s="2">
        <f>69/999</f>
        <v>0.06906906906906907</v>
      </c>
    </row>
    <row r="30" spans="1:3" ht="12.75">
      <c r="A30" s="1" t="s">
        <v>9</v>
      </c>
      <c r="B30" s="1">
        <v>16</v>
      </c>
      <c r="C30" s="2">
        <f>91/999</f>
        <v>0.09109109109109109</v>
      </c>
    </row>
    <row r="31" spans="1:3" ht="12.75">
      <c r="A31" s="1" t="s">
        <v>9</v>
      </c>
      <c r="B31" s="1">
        <v>17</v>
      </c>
      <c r="C31" s="2">
        <f>84/999</f>
        <v>0.08408408408408409</v>
      </c>
    </row>
    <row r="32" spans="1:3" ht="12.75">
      <c r="A32" s="1" t="s">
        <v>9</v>
      </c>
      <c r="B32" s="1">
        <v>17.3</v>
      </c>
      <c r="C32" s="2">
        <f>106/999</f>
        <v>0.1061061061061061</v>
      </c>
    </row>
    <row r="33" spans="1:3" ht="12.75">
      <c r="A33" s="1" t="s">
        <v>9</v>
      </c>
      <c r="B33" s="1">
        <v>18.3</v>
      </c>
      <c r="C33" s="2">
        <f>41/999</f>
        <v>0.04104104104104104</v>
      </c>
    </row>
    <row r="34" spans="1:3" ht="12.75">
      <c r="A34" s="1" t="s">
        <v>9</v>
      </c>
      <c r="B34" s="1">
        <v>19</v>
      </c>
      <c r="C34" s="2">
        <f>22/999</f>
        <v>0.022022022022022022</v>
      </c>
    </row>
    <row r="35" spans="1:3" ht="12.75">
      <c r="A35" s="1" t="s">
        <v>71</v>
      </c>
      <c r="B35" s="1">
        <v>18</v>
      </c>
      <c r="C35" s="2">
        <f>303/9899</f>
        <v>0.030609152439640366</v>
      </c>
    </row>
    <row r="36" spans="1:3" ht="12.75">
      <c r="A36" s="1" t="s">
        <v>71</v>
      </c>
      <c r="B36" s="1">
        <v>19</v>
      </c>
      <c r="C36" s="2">
        <f>909/9899</f>
        <v>0.0918274573189211</v>
      </c>
    </row>
    <row r="37" spans="1:3" ht="12.75">
      <c r="A37" s="1" t="s">
        <v>71</v>
      </c>
      <c r="B37" s="1">
        <v>20</v>
      </c>
      <c r="C37" s="2">
        <f>1111/9899</f>
        <v>0.11223355894534802</v>
      </c>
    </row>
    <row r="38" spans="1:3" ht="12.75">
      <c r="A38" s="1" t="s">
        <v>71</v>
      </c>
      <c r="B38" s="1">
        <v>21</v>
      </c>
      <c r="C38" s="2">
        <f>1212/9899</f>
        <v>0.12243660975856147</v>
      </c>
    </row>
    <row r="39" spans="1:3" ht="12.75">
      <c r="A39" s="1" t="s">
        <v>71</v>
      </c>
      <c r="B39" s="1">
        <v>27</v>
      </c>
      <c r="C39" s="2">
        <v>0.1224</v>
      </c>
    </row>
    <row r="40" spans="1:3" ht="12.75">
      <c r="A40" s="1" t="s">
        <v>71</v>
      </c>
      <c r="B40" s="1">
        <v>28</v>
      </c>
      <c r="C40" s="2">
        <f>3737/9899</f>
        <v>0.3775128800888979</v>
      </c>
    </row>
    <row r="41" spans="1:3" ht="12.75">
      <c r="A41" s="1" t="s">
        <v>71</v>
      </c>
      <c r="B41" s="1">
        <v>29</v>
      </c>
      <c r="C41" s="2">
        <f>1414/9899</f>
        <v>0.14284271138498839</v>
      </c>
    </row>
    <row r="42" spans="1:3" ht="12.75">
      <c r="A42" s="1" t="s">
        <v>6</v>
      </c>
      <c r="B42" s="1">
        <v>16</v>
      </c>
      <c r="C42" s="2">
        <f>30/1001</f>
        <v>0.029970029970029972</v>
      </c>
    </row>
    <row r="43" spans="1:3" ht="12.75">
      <c r="A43" s="1" t="s">
        <v>6</v>
      </c>
      <c r="B43" s="1">
        <v>17</v>
      </c>
      <c r="C43" s="2">
        <f>194/1001</f>
        <v>0.1938061938061938</v>
      </c>
    </row>
    <row r="44" spans="1:3" ht="12.75">
      <c r="A44" s="1" t="s">
        <v>6</v>
      </c>
      <c r="B44" s="1">
        <v>18</v>
      </c>
      <c r="C44" s="2">
        <f>52/1001</f>
        <v>0.05194805194805195</v>
      </c>
    </row>
    <row r="45" spans="1:3" ht="12.75">
      <c r="A45" s="1" t="s">
        <v>6</v>
      </c>
      <c r="B45" s="1">
        <v>19</v>
      </c>
      <c r="C45" s="2">
        <f>145/1001</f>
        <v>0.14485514485514486</v>
      </c>
    </row>
    <row r="46" spans="1:3" ht="12.75">
      <c r="A46" s="1" t="s">
        <v>6</v>
      </c>
      <c r="B46" s="1">
        <v>20</v>
      </c>
      <c r="C46" s="2">
        <f>155/1001</f>
        <v>0.15484515484515485</v>
      </c>
    </row>
    <row r="47" spans="1:3" ht="12.75">
      <c r="A47" s="1" t="s">
        <v>6</v>
      </c>
      <c r="B47" s="1">
        <v>21</v>
      </c>
      <c r="C47" s="2">
        <f>20/1001</f>
        <v>0.01998001998001998</v>
      </c>
    </row>
    <row r="48" spans="1:3" ht="12.75">
      <c r="A48" s="1" t="s">
        <v>6</v>
      </c>
      <c r="B48" s="1">
        <v>22</v>
      </c>
      <c r="C48" s="2">
        <f>30/1001</f>
        <v>0.029970029970029972</v>
      </c>
    </row>
    <row r="49" spans="1:3" ht="12.75">
      <c r="A49" s="1" t="s">
        <v>6</v>
      </c>
      <c r="B49" s="1">
        <v>23</v>
      </c>
      <c r="C49" s="2">
        <f>135/1001</f>
        <v>0.13486513486513488</v>
      </c>
    </row>
    <row r="50" spans="1:3" ht="12.75">
      <c r="A50" s="1" t="s">
        <v>6</v>
      </c>
      <c r="B50" s="1">
        <v>24</v>
      </c>
      <c r="C50" s="2">
        <f>122/1001</f>
        <v>0.12187812187812187</v>
      </c>
    </row>
    <row r="51" spans="1:3" ht="12.75">
      <c r="A51" s="1" t="s">
        <v>6</v>
      </c>
      <c r="B51" s="1">
        <v>25</v>
      </c>
      <c r="C51" s="2">
        <f>95/1001</f>
        <v>0.09490509490509491</v>
      </c>
    </row>
    <row r="52" spans="1:3" ht="12.75">
      <c r="A52" s="1" t="s">
        <v>6</v>
      </c>
      <c r="B52" s="1">
        <v>26</v>
      </c>
      <c r="C52" s="2">
        <f>23/1001</f>
        <v>0.022977022977022976</v>
      </c>
    </row>
    <row r="53" spans="1:3" ht="12.75">
      <c r="A53" s="1" t="s">
        <v>13</v>
      </c>
      <c r="B53" s="1">
        <v>10</v>
      </c>
      <c r="C53" s="2">
        <f>81/1338</f>
        <v>0.06053811659192825</v>
      </c>
    </row>
    <row r="54" spans="1:3" ht="12.75">
      <c r="A54" s="1" t="s">
        <v>13</v>
      </c>
      <c r="B54" s="1">
        <v>11</v>
      </c>
      <c r="C54" s="2">
        <f>380/1338</f>
        <v>0.28400597907324365</v>
      </c>
    </row>
    <row r="55" spans="1:3" ht="12.75">
      <c r="A55" s="1" t="s">
        <v>13</v>
      </c>
      <c r="B55" s="1">
        <v>12</v>
      </c>
      <c r="C55" s="2">
        <f>222/1338</f>
        <v>0.16591928251121077</v>
      </c>
    </row>
    <row r="56" spans="1:3" ht="12.75">
      <c r="A56" s="1" t="s">
        <v>13</v>
      </c>
      <c r="B56" s="1">
        <v>13</v>
      </c>
      <c r="C56" s="2">
        <v>0.1591928251121076</v>
      </c>
    </row>
    <row r="57" spans="1:3" ht="12.75">
      <c r="A57" s="1" t="s">
        <v>13</v>
      </c>
      <c r="B57" s="1">
        <v>14</v>
      </c>
      <c r="C57" s="2">
        <f>195/1338</f>
        <v>0.14573991031390135</v>
      </c>
    </row>
    <row r="58" spans="1:3" ht="12.75">
      <c r="A58" s="1" t="s">
        <v>13</v>
      </c>
      <c r="B58" s="1">
        <v>15</v>
      </c>
      <c r="C58" s="2">
        <f>137/1338</f>
        <v>0.10239162929745889</v>
      </c>
    </row>
    <row r="59" spans="1:3" ht="12.75">
      <c r="A59" s="1" t="s">
        <v>13</v>
      </c>
      <c r="B59" s="1">
        <v>16</v>
      </c>
      <c r="C59" s="2">
        <f>71/1338</f>
        <v>0.053064275037369206</v>
      </c>
    </row>
    <row r="60" spans="1:3" ht="12.75">
      <c r="A60" s="1" t="s">
        <v>13</v>
      </c>
      <c r="B60" s="1">
        <v>17</v>
      </c>
      <c r="C60" s="2">
        <f>39/1338</f>
        <v>0.02914798206278027</v>
      </c>
    </row>
    <row r="61" spans="1:3" ht="12.75">
      <c r="A61" s="1" t="s">
        <v>28</v>
      </c>
      <c r="B61" s="1">
        <v>10</v>
      </c>
      <c r="C61" s="2">
        <f>50/938</f>
        <v>0.053304904051172705</v>
      </c>
    </row>
    <row r="62" spans="1:3" ht="12.75">
      <c r="A62" s="1" t="s">
        <v>28</v>
      </c>
      <c r="B62" s="1">
        <v>11</v>
      </c>
      <c r="C62" s="2">
        <f>256/938</f>
        <v>0.27292110874200426</v>
      </c>
    </row>
    <row r="63" spans="1:3" ht="12.75">
      <c r="A63" s="1" t="s">
        <v>28</v>
      </c>
      <c r="B63" s="1">
        <v>12</v>
      </c>
      <c r="C63" s="2">
        <f>377/938</f>
        <v>0.40191897654584224</v>
      </c>
    </row>
    <row r="64" spans="1:3" ht="12.75">
      <c r="A64" s="1" t="s">
        <v>28</v>
      </c>
      <c r="B64" s="1">
        <v>13</v>
      </c>
      <c r="C64" s="2">
        <f>203/938</f>
        <v>0.21641791044776118</v>
      </c>
    </row>
    <row r="65" spans="1:3" ht="12.75">
      <c r="A65" s="1" t="s">
        <v>28</v>
      </c>
      <c r="B65" s="1">
        <v>14</v>
      </c>
      <c r="C65" s="2">
        <f>73/938</f>
        <v>0.07782515991471216</v>
      </c>
    </row>
    <row r="66" spans="1:3" ht="12.75">
      <c r="A66" s="1" t="s">
        <v>40</v>
      </c>
      <c r="B66" s="1">
        <v>14</v>
      </c>
      <c r="C66" s="2">
        <f>94/938</f>
        <v>0.10021321961620469</v>
      </c>
    </row>
    <row r="67" spans="1:3" ht="12.75">
      <c r="A67" s="1" t="s">
        <v>40</v>
      </c>
      <c r="B67" s="1">
        <v>15</v>
      </c>
      <c r="C67" s="2">
        <f>306/938</f>
        <v>0.326226012793177</v>
      </c>
    </row>
    <row r="68" spans="1:3" ht="12.75">
      <c r="A68" s="1" t="s">
        <v>40</v>
      </c>
      <c r="B68" s="1">
        <v>16</v>
      </c>
      <c r="C68" s="2">
        <f>267/938</f>
        <v>0.2846481876332623</v>
      </c>
    </row>
    <row r="69" spans="1:3" ht="12.75">
      <c r="A69" s="1" t="s">
        <v>40</v>
      </c>
      <c r="B69" s="1">
        <v>17</v>
      </c>
      <c r="C69" s="2">
        <f>199/938</f>
        <v>0.21215351812366737</v>
      </c>
    </row>
    <row r="70" spans="1:3" ht="12.75">
      <c r="A70" s="1" t="s">
        <v>40</v>
      </c>
      <c r="B70" s="1">
        <v>18</v>
      </c>
      <c r="C70" s="2">
        <f>120/938</f>
        <v>0.1279317697228145</v>
      </c>
    </row>
    <row r="71" spans="1:3" ht="12.75">
      <c r="A71" s="1" t="s">
        <v>14</v>
      </c>
      <c r="B71" s="1">
        <v>22</v>
      </c>
      <c r="C71" s="2">
        <f>62/941</f>
        <v>0.06588735387885228</v>
      </c>
    </row>
    <row r="72" spans="1:3" ht="12.75">
      <c r="A72" s="1" t="s">
        <v>14</v>
      </c>
      <c r="B72" s="1">
        <v>23</v>
      </c>
      <c r="C72" s="2">
        <f>59/941</f>
        <v>0.06269925611052073</v>
      </c>
    </row>
    <row r="73" spans="1:3" ht="12.75">
      <c r="A73" s="1" t="s">
        <v>14</v>
      </c>
      <c r="B73" s="1">
        <v>24</v>
      </c>
      <c r="C73" s="2">
        <f>92/941</f>
        <v>0.09776833156216791</v>
      </c>
    </row>
    <row r="74" spans="1:3" ht="12.75">
      <c r="A74" s="1" t="s">
        <v>14</v>
      </c>
      <c r="B74" s="1">
        <v>25</v>
      </c>
      <c r="C74" s="2">
        <f>103/941</f>
        <v>0.10945802337938364</v>
      </c>
    </row>
    <row r="75" spans="1:3" ht="12.75">
      <c r="A75" s="1" t="s">
        <v>14</v>
      </c>
      <c r="B75" s="1">
        <v>26</v>
      </c>
      <c r="C75" s="2">
        <f>141/941</f>
        <v>0.14984059511158343</v>
      </c>
    </row>
    <row r="76" spans="1:3" ht="12.75">
      <c r="A76" s="1" t="s">
        <v>14</v>
      </c>
      <c r="B76" s="1">
        <v>27</v>
      </c>
      <c r="C76" s="2">
        <f>198/941</f>
        <v>0.2104144527098831</v>
      </c>
    </row>
    <row r="77" spans="1:3" ht="12.75">
      <c r="A77" s="1" t="s">
        <v>14</v>
      </c>
      <c r="B77" s="1">
        <v>28</v>
      </c>
      <c r="C77" s="2">
        <f>168/941</f>
        <v>0.1785334750265675</v>
      </c>
    </row>
    <row r="78" spans="1:3" ht="12.75">
      <c r="A78" s="1" t="s">
        <v>14</v>
      </c>
      <c r="B78" s="1">
        <v>29</v>
      </c>
      <c r="C78" s="2">
        <f>85/941</f>
        <v>0.09032943676939426</v>
      </c>
    </row>
    <row r="79" spans="1:3" ht="12.75">
      <c r="A79" s="1" t="s">
        <v>14</v>
      </c>
      <c r="B79" s="1">
        <v>30</v>
      </c>
      <c r="C79" s="2">
        <f>33/941</f>
        <v>0.03506907545164718</v>
      </c>
    </row>
    <row r="80" spans="1:3" ht="12.75">
      <c r="A80" s="1" t="s">
        <v>37</v>
      </c>
      <c r="B80" s="1">
        <v>9</v>
      </c>
      <c r="C80" s="2">
        <f>55/979</f>
        <v>0.056179775280898875</v>
      </c>
    </row>
    <row r="81" spans="1:3" ht="12.75">
      <c r="A81" s="1" t="s">
        <v>37</v>
      </c>
      <c r="B81" s="1">
        <v>10</v>
      </c>
      <c r="C81" s="2">
        <f>29/979</f>
        <v>0.0296220633299285</v>
      </c>
    </row>
    <row r="82" spans="1:3" ht="12.75">
      <c r="A82" s="1" t="s">
        <v>37</v>
      </c>
      <c r="B82" s="1">
        <v>11</v>
      </c>
      <c r="C82" s="2">
        <f>126/979</f>
        <v>0.12870275791624106</v>
      </c>
    </row>
    <row r="83" spans="1:3" ht="12.75">
      <c r="A83" s="1" t="s">
        <v>37</v>
      </c>
      <c r="B83" s="1">
        <v>12</v>
      </c>
      <c r="C83" s="2">
        <f>361/979</f>
        <v>0.3687436159346272</v>
      </c>
    </row>
    <row r="84" spans="1:3" ht="12.75">
      <c r="A84" s="1" t="s">
        <v>37</v>
      </c>
      <c r="B84" s="1">
        <v>13</v>
      </c>
      <c r="C84" s="2">
        <f>273/979</f>
        <v>0.278855975485189</v>
      </c>
    </row>
    <row r="85" spans="1:3" ht="12.75">
      <c r="A85" s="1" t="s">
        <v>37</v>
      </c>
      <c r="B85" s="1">
        <v>14</v>
      </c>
      <c r="C85" s="2">
        <v>0.13789581205311544</v>
      </c>
    </row>
    <row r="86" spans="1:3" ht="12.75">
      <c r="A86" s="1" t="s">
        <v>32</v>
      </c>
      <c r="B86" s="1">
        <v>25</v>
      </c>
      <c r="C86" s="2">
        <v>0.028272251308900525</v>
      </c>
    </row>
    <row r="87" spans="1:3" ht="12.75">
      <c r="A87" s="1" t="s">
        <v>32</v>
      </c>
      <c r="B87" s="1">
        <v>26</v>
      </c>
      <c r="C87" s="2">
        <f>76/955</f>
        <v>0.07958115183246073</v>
      </c>
    </row>
    <row r="88" spans="1:3" ht="12.75">
      <c r="A88" s="1" t="s">
        <v>32</v>
      </c>
      <c r="B88" s="1">
        <v>27</v>
      </c>
      <c r="C88" s="2">
        <f>111/955</f>
        <v>0.1162303664921466</v>
      </c>
    </row>
    <row r="89" spans="1:3" ht="12.75">
      <c r="A89" s="1" t="s">
        <v>32</v>
      </c>
      <c r="B89" s="1">
        <v>28</v>
      </c>
      <c r="C89" s="2">
        <f>124/955</f>
        <v>0.12984293193717278</v>
      </c>
    </row>
    <row r="90" spans="1:3" ht="12.75">
      <c r="A90" s="1" t="s">
        <v>32</v>
      </c>
      <c r="B90" s="1">
        <v>29</v>
      </c>
      <c r="C90" s="2">
        <f>141/955</f>
        <v>0.14764397905759163</v>
      </c>
    </row>
    <row r="91" spans="1:3" ht="12.75">
      <c r="A91" s="1" t="s">
        <v>32</v>
      </c>
      <c r="B91" s="1">
        <v>30</v>
      </c>
      <c r="C91" s="2">
        <f>96/955</f>
        <v>0.10052356020942409</v>
      </c>
    </row>
    <row r="92" spans="1:3" ht="12.75">
      <c r="A92" s="1" t="s">
        <v>32</v>
      </c>
      <c r="B92" s="1">
        <v>31</v>
      </c>
      <c r="C92" s="2">
        <f>99/955</f>
        <v>0.10366492146596859</v>
      </c>
    </row>
    <row r="93" spans="1:3" ht="12.75">
      <c r="A93" s="1" t="s">
        <v>32</v>
      </c>
      <c r="B93" s="1">
        <v>32</v>
      </c>
      <c r="C93" s="2">
        <f>87/955</f>
        <v>0.09109947643979058</v>
      </c>
    </row>
    <row r="94" spans="1:3" ht="12.75">
      <c r="A94" s="1" t="s">
        <v>32</v>
      </c>
      <c r="B94" s="1">
        <v>33</v>
      </c>
      <c r="C94" s="2">
        <f>100/955</f>
        <v>0.10471204188481675</v>
      </c>
    </row>
    <row r="95" spans="1:3" ht="12.75">
      <c r="A95" s="1" t="s">
        <v>32</v>
      </c>
      <c r="B95" s="1">
        <v>34</v>
      </c>
      <c r="C95" s="2">
        <f>60/955</f>
        <v>0.06282722513089005</v>
      </c>
    </row>
    <row r="96" spans="1:3" ht="12.75">
      <c r="A96" s="1" t="s">
        <v>32</v>
      </c>
      <c r="B96" s="1">
        <v>35</v>
      </c>
      <c r="C96" s="2">
        <f>34/955</f>
        <v>0.0356020942408377</v>
      </c>
    </row>
    <row r="97" spans="1:3" ht="12.75">
      <c r="A97" s="1" t="s">
        <v>30</v>
      </c>
      <c r="B97" s="1">
        <v>11</v>
      </c>
      <c r="C97" s="2">
        <f>57/988</f>
        <v>0.057692307692307696</v>
      </c>
    </row>
    <row r="98" spans="1:3" ht="12.75">
      <c r="A98" s="1" t="s">
        <v>30</v>
      </c>
      <c r="B98" s="1">
        <v>12</v>
      </c>
      <c r="C98" s="2">
        <f>100/988</f>
        <v>0.10121457489878542</v>
      </c>
    </row>
    <row r="99" spans="1:3" ht="12.75">
      <c r="A99" s="1" t="s">
        <v>30</v>
      </c>
      <c r="B99" s="1">
        <v>13</v>
      </c>
      <c r="C99" s="2">
        <f>321/988</f>
        <v>0.3248987854251012</v>
      </c>
    </row>
    <row r="100" spans="1:3" ht="12.75">
      <c r="A100" s="1" t="s">
        <v>30</v>
      </c>
      <c r="B100" s="1">
        <v>14</v>
      </c>
      <c r="C100" s="2">
        <f>337/998</f>
        <v>0.3376753507014028</v>
      </c>
    </row>
    <row r="101" spans="1:3" ht="12.75">
      <c r="A101" s="1" t="s">
        <v>30</v>
      </c>
      <c r="B101" s="1">
        <v>15</v>
      </c>
      <c r="C101" s="2">
        <f>126/988</f>
        <v>0.12753036437246965</v>
      </c>
    </row>
    <row r="102" spans="1:3" ht="12.75">
      <c r="A102" s="1" t="s">
        <v>30</v>
      </c>
      <c r="B102" s="1">
        <v>16</v>
      </c>
      <c r="C102" s="2">
        <f>47/988</f>
        <v>0.04757085020242915</v>
      </c>
    </row>
    <row r="103" spans="1:3" ht="12.75">
      <c r="A103" s="1" t="s">
        <v>15</v>
      </c>
      <c r="B103" s="1">
        <v>7.2</v>
      </c>
      <c r="C103" s="2">
        <f>41/928</f>
        <v>0.04418103448275862</v>
      </c>
    </row>
    <row r="104" spans="1:3" ht="12.75">
      <c r="A104" s="1" t="s">
        <v>15</v>
      </c>
      <c r="B104" s="1">
        <v>8.2</v>
      </c>
      <c r="C104" s="2">
        <f>54/928</f>
        <v>0.05818965517241379</v>
      </c>
    </row>
    <row r="105" spans="1:3" ht="12.75">
      <c r="A105" s="1" t="s">
        <v>15</v>
      </c>
      <c r="B105" s="1">
        <v>9</v>
      </c>
      <c r="C105" s="2">
        <f>33/928</f>
        <v>0.03556034482758621</v>
      </c>
    </row>
    <row r="106" spans="1:3" ht="12.75">
      <c r="A106" s="1" t="s">
        <v>15</v>
      </c>
      <c r="B106" s="1">
        <v>9.2</v>
      </c>
      <c r="C106" s="2">
        <f>49/928</f>
        <v>0.052801724137931036</v>
      </c>
    </row>
    <row r="107" spans="1:3" ht="12.75">
      <c r="A107" s="1" t="s">
        <v>15</v>
      </c>
      <c r="B107" s="1">
        <v>10</v>
      </c>
      <c r="C107" s="2">
        <f>26/928</f>
        <v>0.028017241379310345</v>
      </c>
    </row>
    <row r="108" spans="1:3" ht="12.75">
      <c r="A108" s="1" t="s">
        <v>15</v>
      </c>
      <c r="B108" s="1">
        <v>10.2</v>
      </c>
      <c r="C108" s="2">
        <f>27/928</f>
        <v>0.029094827586206896</v>
      </c>
    </row>
    <row r="109" spans="1:3" ht="12.75">
      <c r="A109" s="1" t="s">
        <v>15</v>
      </c>
      <c r="B109" s="1">
        <v>11</v>
      </c>
      <c r="C109" s="2">
        <f>184/928</f>
        <v>0.19827586206896552</v>
      </c>
    </row>
    <row r="110" spans="1:3" ht="12.75">
      <c r="A110" s="1" t="s">
        <v>15</v>
      </c>
      <c r="B110" s="1">
        <v>12</v>
      </c>
      <c r="C110" s="2">
        <f>289/928</f>
        <v>0.3114224137931034</v>
      </c>
    </row>
    <row r="111" spans="1:3" ht="12.75">
      <c r="A111" s="1" t="s">
        <v>15</v>
      </c>
      <c r="B111" s="1">
        <v>13</v>
      </c>
      <c r="C111" s="2">
        <f>158/928</f>
        <v>0.17025862068965517</v>
      </c>
    </row>
    <row r="112" spans="1:3" ht="12.75">
      <c r="A112" s="1" t="s">
        <v>15</v>
      </c>
      <c r="B112" s="1">
        <v>14</v>
      </c>
      <c r="C112" s="2">
        <f>67/928</f>
        <v>0.07219827586206896</v>
      </c>
    </row>
    <row r="113" spans="1:3" ht="12.75">
      <c r="A113" s="1" t="s">
        <v>17</v>
      </c>
      <c r="B113" s="1">
        <v>19</v>
      </c>
      <c r="C113" s="2">
        <f>50/990</f>
        <v>0.050505050505050504</v>
      </c>
    </row>
    <row r="114" spans="1:3" ht="12.75">
      <c r="A114" s="1" t="s">
        <v>17</v>
      </c>
      <c r="B114" s="1">
        <v>20</v>
      </c>
      <c r="C114" s="2">
        <f>100/990</f>
        <v>0.10101010101010101</v>
      </c>
    </row>
    <row r="115" spans="1:3" ht="12.75">
      <c r="A115" s="1" t="s">
        <v>17</v>
      </c>
      <c r="B115" s="1">
        <v>21</v>
      </c>
      <c r="C115" s="2">
        <f>412/990</f>
        <v>0.4161616161616162</v>
      </c>
    </row>
    <row r="116" spans="1:3" ht="12.75">
      <c r="A116" s="1" t="s">
        <v>17</v>
      </c>
      <c r="B116" s="1">
        <v>22</v>
      </c>
      <c r="C116" s="2">
        <v>0.22727272727272727</v>
      </c>
    </row>
    <row r="117" spans="1:3" ht="12.75">
      <c r="A117" s="1" t="s">
        <v>17</v>
      </c>
      <c r="B117" s="1">
        <v>23</v>
      </c>
      <c r="C117" s="2">
        <v>0.1484848484848485</v>
      </c>
    </row>
    <row r="118" spans="1:3" ht="12.75">
      <c r="A118" s="1" t="s">
        <v>17</v>
      </c>
      <c r="B118" s="1">
        <v>24</v>
      </c>
      <c r="C118" s="2">
        <f>56/990</f>
        <v>0.05656565656565657</v>
      </c>
    </row>
    <row r="119" spans="1:4" ht="12.75">
      <c r="A119" s="1" t="s">
        <v>69</v>
      </c>
      <c r="B119" s="1">
        <v>12</v>
      </c>
      <c r="C119" s="2">
        <f>452/9877</f>
        <v>0.04576288346663967</v>
      </c>
      <c r="D119" s="3"/>
    </row>
    <row r="120" spans="1:3" ht="12.75">
      <c r="A120" s="1" t="s">
        <v>69</v>
      </c>
      <c r="B120" s="1">
        <v>13</v>
      </c>
      <c r="C120" s="2">
        <f>903/9877</f>
        <v>0.09142452161587526</v>
      </c>
    </row>
    <row r="121" spans="1:3" ht="12.75">
      <c r="A121" s="1" t="s">
        <v>69</v>
      </c>
      <c r="B121" s="1">
        <v>14</v>
      </c>
      <c r="C121" s="2">
        <f>200/9877</f>
        <v>0.02024906348081401</v>
      </c>
    </row>
    <row r="122" spans="1:3" ht="12.75">
      <c r="A122" s="1" t="s">
        <v>69</v>
      </c>
      <c r="B122" s="1">
        <v>16</v>
      </c>
      <c r="C122" s="2">
        <f>903/9877</f>
        <v>0.09142452161587526</v>
      </c>
    </row>
    <row r="123" spans="1:3" ht="12.75">
      <c r="A123" s="1" t="s">
        <v>69</v>
      </c>
      <c r="B123" s="1">
        <v>17</v>
      </c>
      <c r="C123" s="2">
        <v>0.0914</v>
      </c>
    </row>
    <row r="124" spans="1:3" ht="12.75">
      <c r="A124" s="1" t="s">
        <v>69</v>
      </c>
      <c r="B124" s="1">
        <v>18</v>
      </c>
      <c r="C124" s="2">
        <f>2774/9877</f>
        <v>0.2808545104788904</v>
      </c>
    </row>
    <row r="125" spans="1:3" ht="12.75">
      <c r="A125" s="1" t="s">
        <v>69</v>
      </c>
      <c r="B125" s="1">
        <v>19</v>
      </c>
      <c r="C125" s="2">
        <f>3742/9877</f>
        <v>0.3788599777260302</v>
      </c>
    </row>
    <row r="126" spans="1:3" ht="12.75">
      <c r="A126" s="1" t="s">
        <v>47</v>
      </c>
      <c r="B126" s="1">
        <v>9</v>
      </c>
      <c r="C126" s="2">
        <f>46/964</f>
        <v>0.04771784232365145</v>
      </c>
    </row>
    <row r="127" spans="1:3" ht="12.75">
      <c r="A127" s="1" t="s">
        <v>47</v>
      </c>
      <c r="B127" s="1">
        <v>10</v>
      </c>
      <c r="C127" s="2">
        <f>50/964</f>
        <v>0.05186721991701245</v>
      </c>
    </row>
    <row r="128" spans="1:3" ht="12.75">
      <c r="A128" s="1" t="s">
        <v>47</v>
      </c>
      <c r="B128" s="1">
        <v>11</v>
      </c>
      <c r="C128" s="2">
        <f>341/964</f>
        <v>0.3537344398340249</v>
      </c>
    </row>
    <row r="129" spans="1:3" ht="12.75">
      <c r="A129" s="1" t="s">
        <v>47</v>
      </c>
      <c r="B129" s="1">
        <v>12</v>
      </c>
      <c r="C129" s="2">
        <f>354/964</f>
        <v>0.36721991701244816</v>
      </c>
    </row>
    <row r="130" spans="1:3" ht="12.75">
      <c r="A130" s="1" t="s">
        <v>47</v>
      </c>
      <c r="B130" s="1">
        <v>13</v>
      </c>
      <c r="C130" s="2">
        <f>173/964</f>
        <v>0.17946058091286307</v>
      </c>
    </row>
    <row r="131" spans="1:3" ht="12.75">
      <c r="A131" s="1" t="s">
        <v>31</v>
      </c>
      <c r="B131" s="1">
        <v>7</v>
      </c>
      <c r="C131" s="2">
        <f>44/988</f>
        <v>0.044534412955465584</v>
      </c>
    </row>
    <row r="132" spans="1:3" ht="12.75">
      <c r="A132" s="1" t="s">
        <v>31</v>
      </c>
      <c r="B132" s="1">
        <v>10</v>
      </c>
      <c r="C132" s="2">
        <f>297/988</f>
        <v>0.3006072874493927</v>
      </c>
    </row>
    <row r="133" spans="1:3" ht="12.75">
      <c r="A133" s="1" t="s">
        <v>31</v>
      </c>
      <c r="B133" s="1">
        <v>11</v>
      </c>
      <c r="C133" s="2">
        <f>44/988</f>
        <v>0.044534412955465584</v>
      </c>
    </row>
    <row r="134" spans="1:3" ht="12.75">
      <c r="A134" s="1" t="s">
        <v>31</v>
      </c>
      <c r="B134" s="1">
        <v>12</v>
      </c>
      <c r="C134" s="2">
        <f>108/988</f>
        <v>0.10931174089068826</v>
      </c>
    </row>
    <row r="135" spans="1:3" ht="12.75">
      <c r="A135" s="1" t="s">
        <v>31</v>
      </c>
      <c r="B135" s="1">
        <v>13</v>
      </c>
      <c r="C135" s="2">
        <f>163/988</f>
        <v>0.16497975708502025</v>
      </c>
    </row>
    <row r="136" spans="1:3" ht="12.75">
      <c r="A136" s="1" t="s">
        <v>31</v>
      </c>
      <c r="B136" s="1">
        <v>14</v>
      </c>
      <c r="C136" s="2">
        <f>251/988</f>
        <v>0.2540485829959514</v>
      </c>
    </row>
    <row r="137" spans="1:3" ht="12.75">
      <c r="A137" s="1" t="s">
        <v>31</v>
      </c>
      <c r="B137" s="1">
        <v>15</v>
      </c>
      <c r="C137" s="2">
        <f>81/988</f>
        <v>0.08198380566801619</v>
      </c>
    </row>
    <row r="138" spans="1:4" ht="12.75">
      <c r="A138" s="1" t="s">
        <v>61</v>
      </c>
      <c r="B138" s="1">
        <v>18</v>
      </c>
      <c r="C138" s="2">
        <f>1262/9830</f>
        <v>0.128382502543235</v>
      </c>
      <c r="D138" s="3"/>
    </row>
    <row r="139" spans="1:3" ht="12.75">
      <c r="A139" s="1" t="s">
        <v>61</v>
      </c>
      <c r="B139" s="1">
        <v>20</v>
      </c>
      <c r="C139" s="2">
        <f>1019/9830</f>
        <v>0.10366225839267548</v>
      </c>
    </row>
    <row r="140" spans="1:3" ht="12.75">
      <c r="A140" s="1" t="s">
        <v>61</v>
      </c>
      <c r="B140" s="1">
        <v>21</v>
      </c>
      <c r="C140" s="2">
        <f>3495/9830</f>
        <v>0.3555442522889115</v>
      </c>
    </row>
    <row r="141" spans="1:3" ht="12.75">
      <c r="A141" s="1" t="s">
        <v>61</v>
      </c>
      <c r="B141" s="1">
        <v>22</v>
      </c>
      <c r="C141" s="2">
        <f>4053/9830</f>
        <v>0.4123092573753815</v>
      </c>
    </row>
    <row r="142" spans="1:3" ht="12.75">
      <c r="A142" s="1" t="s">
        <v>49</v>
      </c>
      <c r="B142" s="1">
        <v>7</v>
      </c>
      <c r="C142" s="2">
        <f>20/9830</f>
        <v>0.002034587995930824</v>
      </c>
    </row>
    <row r="143" spans="1:3" ht="12.75">
      <c r="A143" s="1" t="s">
        <v>49</v>
      </c>
      <c r="B143" s="1">
        <v>8</v>
      </c>
      <c r="C143" s="2">
        <f>162/9830</f>
        <v>0.016480162767039674</v>
      </c>
    </row>
    <row r="144" spans="1:3" ht="12.75">
      <c r="A144" s="1" t="s">
        <v>49</v>
      </c>
      <c r="B144" s="1">
        <v>9</v>
      </c>
      <c r="C144" s="2">
        <f>124/9830</f>
        <v>0.01261444557477111</v>
      </c>
    </row>
    <row r="145" spans="1:3" ht="12.75">
      <c r="A145" s="1" t="s">
        <v>49</v>
      </c>
      <c r="B145" s="1">
        <v>10</v>
      </c>
      <c r="C145" s="2">
        <f>259/9830</f>
        <v>0.02634791454730417</v>
      </c>
    </row>
    <row r="146" spans="1:3" ht="12.75">
      <c r="A146" s="1" t="s">
        <v>49</v>
      </c>
      <c r="B146" s="1">
        <v>11</v>
      </c>
      <c r="C146" s="2">
        <f>256/9830</f>
        <v>0.026042726347914547</v>
      </c>
    </row>
    <row r="147" spans="1:3" ht="12.75">
      <c r="A147" s="1" t="s">
        <v>49</v>
      </c>
      <c r="B147" s="1">
        <v>12</v>
      </c>
      <c r="C147" s="2">
        <f>163/9830</f>
        <v>0.016581892166836216</v>
      </c>
    </row>
    <row r="148" spans="1:3" ht="12.75">
      <c r="A148" s="1" t="s">
        <v>49</v>
      </c>
      <c r="B148" s="1">
        <v>13</v>
      </c>
      <c r="C148" s="2">
        <f>21/9830</f>
        <v>0.0021363173957273654</v>
      </c>
    </row>
    <row r="149" spans="1:3" ht="12.75">
      <c r="A149" s="1" t="s">
        <v>23</v>
      </c>
      <c r="B149" s="1">
        <v>4</v>
      </c>
      <c r="C149" s="2">
        <f>127/982</f>
        <v>0.12932790224032586</v>
      </c>
    </row>
    <row r="150" spans="1:3" ht="12.75">
      <c r="A150" s="1" t="s">
        <v>23</v>
      </c>
      <c r="B150" s="1">
        <v>7</v>
      </c>
      <c r="C150" s="2">
        <f>431/982</f>
        <v>0.43890020366598775</v>
      </c>
    </row>
    <row r="151" spans="1:3" ht="12.75">
      <c r="A151" s="1" t="s">
        <v>23</v>
      </c>
      <c r="B151" s="1">
        <v>8</v>
      </c>
      <c r="C151" s="2">
        <f>105/982</f>
        <v>0.10692464358452139</v>
      </c>
    </row>
    <row r="152" spans="1:3" ht="12.75">
      <c r="A152" s="1" t="s">
        <v>23</v>
      </c>
      <c r="B152" s="1">
        <v>9</v>
      </c>
      <c r="C152" s="2">
        <f>67/982</f>
        <v>0.06822810590631365</v>
      </c>
    </row>
    <row r="153" spans="1:3" ht="12.75">
      <c r="A153" s="1" t="s">
        <v>23</v>
      </c>
      <c r="B153" s="1">
        <v>10</v>
      </c>
      <c r="C153" s="2">
        <f>97/982</f>
        <v>0.09877800407331976</v>
      </c>
    </row>
    <row r="154" spans="1:3" ht="12.75">
      <c r="A154" s="1" t="s">
        <v>23</v>
      </c>
      <c r="B154" s="1">
        <v>11</v>
      </c>
      <c r="C154" s="2">
        <f>125/982</f>
        <v>0.12729124236252545</v>
      </c>
    </row>
    <row r="155" spans="1:3" ht="12.75">
      <c r="A155" s="1" t="s">
        <v>23</v>
      </c>
      <c r="B155" s="1">
        <v>12</v>
      </c>
      <c r="C155" s="2">
        <f>30/982</f>
        <v>0.03054989816700611</v>
      </c>
    </row>
    <row r="156" spans="1:3" ht="12.75">
      <c r="A156" s="1" t="s">
        <v>29</v>
      </c>
      <c r="B156" s="1">
        <v>10</v>
      </c>
      <c r="C156" s="2">
        <f>62/986</f>
        <v>0.06288032454361055</v>
      </c>
    </row>
    <row r="157" spans="1:3" ht="12.75">
      <c r="A157" s="1" t="s">
        <v>29</v>
      </c>
      <c r="B157" s="1">
        <v>11</v>
      </c>
      <c r="C157" s="2">
        <f>203/986</f>
        <v>0.20588235294117646</v>
      </c>
    </row>
    <row r="158" spans="1:3" ht="12.75">
      <c r="A158" s="1" t="s">
        <v>29</v>
      </c>
      <c r="B158" s="1">
        <v>12</v>
      </c>
      <c r="C158" s="2">
        <f>244/986</f>
        <v>0.24746450304259635</v>
      </c>
    </row>
    <row r="159" spans="1:3" ht="12.75">
      <c r="A159" s="1" t="s">
        <v>29</v>
      </c>
      <c r="B159" s="1">
        <v>13</v>
      </c>
      <c r="C159" s="2">
        <f>187/986</f>
        <v>0.1896551724137931</v>
      </c>
    </row>
    <row r="160" spans="1:3" ht="12.75">
      <c r="A160" s="1" t="s">
        <v>29</v>
      </c>
      <c r="B160" s="1">
        <v>14</v>
      </c>
      <c r="C160" s="2">
        <f>197/986</f>
        <v>0.1997971602434077</v>
      </c>
    </row>
    <row r="161" spans="1:3" ht="12.75">
      <c r="A161" s="1" t="s">
        <v>29</v>
      </c>
      <c r="B161" s="1">
        <v>15</v>
      </c>
      <c r="C161" s="2">
        <f>72/986</f>
        <v>0.07302231237322515</v>
      </c>
    </row>
    <row r="162" spans="1:3" ht="12.75">
      <c r="A162" s="1" t="s">
        <v>29</v>
      </c>
      <c r="B162" s="1">
        <v>16</v>
      </c>
      <c r="C162" s="2">
        <f>21/986</f>
        <v>0.02129817444219067</v>
      </c>
    </row>
    <row r="163" spans="1:3" ht="12.75">
      <c r="A163" s="1" t="s">
        <v>4</v>
      </c>
      <c r="B163" s="1">
        <v>10</v>
      </c>
      <c r="C163" s="2">
        <f>75/976</f>
        <v>0.07684426229508197</v>
      </c>
    </row>
    <row r="164" spans="1:3" ht="12.75">
      <c r="A164" s="1" t="s">
        <v>4</v>
      </c>
      <c r="B164" s="1">
        <v>11</v>
      </c>
      <c r="C164" s="2">
        <f>88/976</f>
        <v>0.09016393442622951</v>
      </c>
    </row>
    <row r="165" spans="1:3" ht="12.75">
      <c r="A165" s="1" t="s">
        <v>4</v>
      </c>
      <c r="B165" s="1">
        <v>12</v>
      </c>
      <c r="C165" s="2">
        <f>121/976</f>
        <v>0.12397540983606557</v>
      </c>
    </row>
    <row r="166" spans="1:3" ht="12.75">
      <c r="A166" s="1" t="s">
        <v>4</v>
      </c>
      <c r="B166" s="1">
        <v>13</v>
      </c>
      <c r="C166" s="2">
        <f>285/986</f>
        <v>0.28904665314401623</v>
      </c>
    </row>
    <row r="167" spans="1:3" ht="12.75">
      <c r="A167" s="1" t="s">
        <v>4</v>
      </c>
      <c r="B167" s="1">
        <v>14</v>
      </c>
      <c r="C167" s="2">
        <f>245/986</f>
        <v>0.2484787018255578</v>
      </c>
    </row>
    <row r="168" spans="1:3" ht="12.75">
      <c r="A168" s="1" t="s">
        <v>4</v>
      </c>
      <c r="B168" s="1">
        <v>15</v>
      </c>
      <c r="C168" s="2">
        <f>127/986</f>
        <v>0.12880324543610547</v>
      </c>
    </row>
    <row r="169" spans="1:3" ht="12.75">
      <c r="A169" s="1" t="s">
        <v>4</v>
      </c>
      <c r="B169" s="1">
        <v>16</v>
      </c>
      <c r="C169" s="2">
        <f>35/986</f>
        <v>0.035496957403651115</v>
      </c>
    </row>
    <row r="170" spans="1:4" ht="12.75">
      <c r="A170" s="1" t="s">
        <v>55</v>
      </c>
      <c r="B170" s="1">
        <v>4</v>
      </c>
      <c r="C170" s="2">
        <f>8/144</f>
        <v>0.05555555555555555</v>
      </c>
      <c r="D170" s="3"/>
    </row>
    <row r="171" spans="1:3" ht="12.75">
      <c r="A171" s="1" t="s">
        <v>55</v>
      </c>
      <c r="B171" s="1">
        <v>6</v>
      </c>
      <c r="C171" s="2">
        <f>3/144</f>
        <v>0.020833333333333332</v>
      </c>
    </row>
    <row r="172" spans="1:3" ht="12.75">
      <c r="A172" s="1" t="s">
        <v>55</v>
      </c>
      <c r="B172" s="1">
        <v>8</v>
      </c>
      <c r="C172" s="2">
        <f>52/144</f>
        <v>0.3611111111111111</v>
      </c>
    </row>
    <row r="173" spans="1:3" ht="12.75">
      <c r="A173" s="1" t="s">
        <v>55</v>
      </c>
      <c r="B173" s="1">
        <v>9</v>
      </c>
      <c r="C173" s="2">
        <f>13/144</f>
        <v>0.09027777777777778</v>
      </c>
    </row>
    <row r="174" spans="1:3" ht="12.75">
      <c r="A174" s="1" t="s">
        <v>55</v>
      </c>
      <c r="B174" s="1">
        <v>10</v>
      </c>
      <c r="C174" s="2">
        <f>5/144</f>
        <v>0.034722222222222224</v>
      </c>
    </row>
    <row r="175" spans="1:3" ht="12.75">
      <c r="A175" s="1" t="s">
        <v>55</v>
      </c>
      <c r="B175" s="1">
        <v>11</v>
      </c>
      <c r="C175" s="2">
        <f>17/144</f>
        <v>0.11805555555555555</v>
      </c>
    </row>
    <row r="176" spans="1:3" ht="12.75">
      <c r="A176" s="1" t="s">
        <v>55</v>
      </c>
      <c r="B176" s="1">
        <v>12</v>
      </c>
      <c r="C176" s="2">
        <f>32/144</f>
        <v>0.2222222222222222</v>
      </c>
    </row>
    <row r="177" spans="1:3" ht="12.75">
      <c r="A177" s="1" t="s">
        <v>55</v>
      </c>
      <c r="B177" s="1">
        <v>13</v>
      </c>
      <c r="C177" s="2">
        <f>15/144</f>
        <v>0.10416666666666667</v>
      </c>
    </row>
    <row r="178" spans="1:3" ht="12.75">
      <c r="A178" s="1" t="s">
        <v>55</v>
      </c>
      <c r="B178" s="1">
        <v>14</v>
      </c>
      <c r="C178" s="2">
        <f>3/144</f>
        <v>0.020833333333333332</v>
      </c>
    </row>
    <row r="179" spans="1:3" ht="12.75">
      <c r="A179" s="1" t="s">
        <v>33</v>
      </c>
      <c r="B179" s="1">
        <v>10</v>
      </c>
      <c r="C179" s="2">
        <f>124/981</f>
        <v>0.12640163098878696</v>
      </c>
    </row>
    <row r="180" spans="1:3" ht="12.75">
      <c r="A180" s="1" t="s">
        <v>33</v>
      </c>
      <c r="B180" s="1">
        <v>11</v>
      </c>
      <c r="C180" s="2">
        <f>212/981</f>
        <v>0.2161060142711519</v>
      </c>
    </row>
    <row r="181" spans="1:3" ht="12.75">
      <c r="A181" s="1" t="s">
        <v>33</v>
      </c>
      <c r="B181" s="1">
        <v>12</v>
      </c>
      <c r="C181" s="2">
        <f>253/981</f>
        <v>0.2579001019367992</v>
      </c>
    </row>
    <row r="182" spans="1:3" ht="12.75">
      <c r="A182" s="1" t="s">
        <v>33</v>
      </c>
      <c r="B182" s="1">
        <v>13</v>
      </c>
      <c r="C182" s="2">
        <f>187/981</f>
        <v>0.1906218144750255</v>
      </c>
    </row>
    <row r="183" spans="1:3" ht="12.75">
      <c r="A183" s="1" t="s">
        <v>33</v>
      </c>
      <c r="B183" s="1">
        <v>14</v>
      </c>
      <c r="C183" s="2">
        <f>172/981</f>
        <v>0.17533129459734964</v>
      </c>
    </row>
    <row r="184" spans="1:3" ht="12.75">
      <c r="A184" s="1" t="s">
        <v>33</v>
      </c>
      <c r="B184" s="1">
        <v>15</v>
      </c>
      <c r="C184" s="2">
        <f>33/981</f>
        <v>0.03363914373088685</v>
      </c>
    </row>
    <row r="185" spans="1:3" ht="12.75">
      <c r="A185" s="1" t="s">
        <v>19</v>
      </c>
      <c r="B185" s="1">
        <v>17</v>
      </c>
      <c r="C185" s="2">
        <f>57/983</f>
        <v>0.05798575788402848</v>
      </c>
    </row>
    <row r="186" spans="1:3" ht="12.75">
      <c r="A186" s="1" t="s">
        <v>19</v>
      </c>
      <c r="B186" s="1">
        <v>18</v>
      </c>
      <c r="C186" s="2">
        <f>88/983</f>
        <v>0.08952187182095625</v>
      </c>
    </row>
    <row r="187" spans="1:3" ht="12.75">
      <c r="A187" s="1" t="s">
        <v>19</v>
      </c>
      <c r="B187" s="1">
        <v>19</v>
      </c>
      <c r="C187" s="2">
        <f>190/983</f>
        <v>0.19328585961342828</v>
      </c>
    </row>
    <row r="188" spans="1:3" ht="12.75">
      <c r="A188" s="1" t="s">
        <v>19</v>
      </c>
      <c r="B188" s="1">
        <v>20</v>
      </c>
      <c r="C188" s="2">
        <f>270/983</f>
        <v>0.2746693794506612</v>
      </c>
    </row>
    <row r="189" spans="1:3" ht="12.75">
      <c r="A189" s="1" t="s">
        <v>19</v>
      </c>
      <c r="B189" s="1">
        <v>21</v>
      </c>
      <c r="C189" s="2">
        <f>134/983</f>
        <v>0.1363173957273652</v>
      </c>
    </row>
    <row r="190" spans="1:3" ht="12.75">
      <c r="A190" s="1" t="s">
        <v>19</v>
      </c>
      <c r="B190" s="1">
        <v>22</v>
      </c>
      <c r="C190" s="2">
        <f>94/983</f>
        <v>0.09562563580874874</v>
      </c>
    </row>
    <row r="191" spans="1:3" ht="12.75">
      <c r="A191" s="1" t="s">
        <v>19</v>
      </c>
      <c r="B191" s="1">
        <v>23</v>
      </c>
      <c r="C191" s="2">
        <f>58/983</f>
        <v>0.059003051881993895</v>
      </c>
    </row>
    <row r="192" spans="1:3" ht="12.75">
      <c r="A192" s="1" t="s">
        <v>19</v>
      </c>
      <c r="B192" s="1">
        <v>24</v>
      </c>
      <c r="C192" s="2">
        <f>47/983</f>
        <v>0.04781281790437437</v>
      </c>
    </row>
    <row r="193" spans="1:3" ht="12.75">
      <c r="A193" s="1" t="s">
        <v>19</v>
      </c>
      <c r="B193" s="1">
        <v>25</v>
      </c>
      <c r="C193" s="2">
        <f>45/983</f>
        <v>0.04577822990844354</v>
      </c>
    </row>
    <row r="194" spans="1:3" ht="12.75">
      <c r="A194" s="1" t="s">
        <v>22</v>
      </c>
      <c r="B194" s="1">
        <v>5</v>
      </c>
      <c r="C194" s="2">
        <f>24/992</f>
        <v>0.024193548387096774</v>
      </c>
    </row>
    <row r="195" spans="1:3" ht="12.75">
      <c r="A195" s="1" t="s">
        <v>22</v>
      </c>
      <c r="B195" s="1">
        <v>6</v>
      </c>
      <c r="C195" s="2">
        <f>202/992</f>
        <v>0.20362903225806453</v>
      </c>
    </row>
    <row r="196" spans="1:3" ht="12.75">
      <c r="A196" s="1" t="s">
        <v>22</v>
      </c>
      <c r="B196" s="1">
        <v>7</v>
      </c>
      <c r="C196" s="2">
        <f>47/992</f>
        <v>0.047379032258064516</v>
      </c>
    </row>
    <row r="197" spans="1:3" ht="12.75">
      <c r="A197" s="1" t="s">
        <v>22</v>
      </c>
      <c r="B197" s="1">
        <v>8</v>
      </c>
      <c r="C197" s="2">
        <f>74/992</f>
        <v>0.07459677419354839</v>
      </c>
    </row>
    <row r="198" spans="1:3" ht="12.75">
      <c r="A198" s="1" t="s">
        <v>22</v>
      </c>
      <c r="B198" s="1">
        <v>9</v>
      </c>
      <c r="C198" s="2">
        <f>142/992</f>
        <v>0.1431451612903226</v>
      </c>
    </row>
    <row r="199" spans="1:3" ht="12.75">
      <c r="A199" s="1" t="s">
        <v>22</v>
      </c>
      <c r="B199" s="1">
        <v>10</v>
      </c>
      <c r="C199" s="2">
        <f>142/993</f>
        <v>0.14300100704934543</v>
      </c>
    </row>
    <row r="200" spans="1:3" ht="12.75">
      <c r="A200" s="1" t="s">
        <v>22</v>
      </c>
      <c r="B200" s="1">
        <v>11</v>
      </c>
      <c r="C200" s="2">
        <f>175/993</f>
        <v>0.17623363544813697</v>
      </c>
    </row>
    <row r="201" spans="1:3" ht="12.75">
      <c r="A201" s="1" t="s">
        <v>22</v>
      </c>
      <c r="B201" s="1">
        <v>12</v>
      </c>
      <c r="C201" s="2">
        <f>73/993</f>
        <v>0.07351460221550855</v>
      </c>
    </row>
    <row r="202" spans="1:3" ht="12.75">
      <c r="A202" s="1" t="s">
        <v>22</v>
      </c>
      <c r="B202" s="1">
        <v>13</v>
      </c>
      <c r="C202" s="2">
        <f>60/993</f>
        <v>0.06042296072507553</v>
      </c>
    </row>
    <row r="203" spans="1:3" ht="12.75">
      <c r="A203" s="1" t="s">
        <v>22</v>
      </c>
      <c r="B203" s="1">
        <v>14</v>
      </c>
      <c r="C203" s="2">
        <f>24/993</f>
        <v>0.02416918429003021</v>
      </c>
    </row>
    <row r="204" spans="1:3" ht="12.75">
      <c r="A204" s="1" t="s">
        <v>36</v>
      </c>
      <c r="B204" s="1">
        <v>10</v>
      </c>
      <c r="C204" s="2">
        <f>35/982</f>
        <v>0.035641547861507125</v>
      </c>
    </row>
    <row r="205" spans="1:3" ht="12.75">
      <c r="A205" s="1" t="s">
        <v>36</v>
      </c>
      <c r="B205" s="1">
        <v>11</v>
      </c>
      <c r="C205" s="2">
        <f>74/982</f>
        <v>0.07535641547861507</v>
      </c>
    </row>
    <row r="206" spans="1:3" ht="12.75">
      <c r="A206" s="1" t="s">
        <v>36</v>
      </c>
      <c r="B206" s="1">
        <v>12</v>
      </c>
      <c r="C206" s="2">
        <v>0.3065173116089613</v>
      </c>
    </row>
    <row r="207" spans="1:3" ht="12.75">
      <c r="A207" s="1" t="s">
        <v>36</v>
      </c>
      <c r="B207" s="1">
        <v>13</v>
      </c>
      <c r="C207" s="2">
        <f>320/982</f>
        <v>0.3258655804480652</v>
      </c>
    </row>
    <row r="208" spans="1:3" ht="12.75">
      <c r="A208" s="1" t="s">
        <v>36</v>
      </c>
      <c r="B208" s="1">
        <v>14</v>
      </c>
      <c r="C208" s="2">
        <f>185/981</f>
        <v>0.18858307849133538</v>
      </c>
    </row>
    <row r="209" spans="1:3" ht="12.75">
      <c r="A209" s="1" t="s">
        <v>36</v>
      </c>
      <c r="B209" s="1">
        <v>15</v>
      </c>
      <c r="C209" s="2">
        <f>67/981</f>
        <v>0.06829765545361875</v>
      </c>
    </row>
    <row r="210" spans="1:3" ht="12.75">
      <c r="A210" s="1" t="s">
        <v>8</v>
      </c>
      <c r="B210" s="1">
        <v>15</v>
      </c>
      <c r="C210" s="2">
        <f>43/981</f>
        <v>0.04383282364933741</v>
      </c>
    </row>
    <row r="211" spans="1:3" ht="12.75">
      <c r="A211" s="1" t="s">
        <v>8</v>
      </c>
      <c r="B211" s="1">
        <v>16</v>
      </c>
      <c r="C211" s="2">
        <f>23/981</f>
        <v>0.023445463812436288</v>
      </c>
    </row>
    <row r="212" spans="1:3" ht="12.75">
      <c r="A212" s="1" t="s">
        <v>8</v>
      </c>
      <c r="B212" s="1">
        <v>17</v>
      </c>
      <c r="C212" s="2">
        <f>101/981</f>
        <v>0.10295616717635066</v>
      </c>
    </row>
    <row r="213" spans="1:3" ht="12.75">
      <c r="A213" s="1" t="s">
        <v>8</v>
      </c>
      <c r="B213" s="1">
        <v>18</v>
      </c>
      <c r="C213" s="2">
        <f>212/981</f>
        <v>0.2161060142711519</v>
      </c>
    </row>
    <row r="214" spans="1:3" ht="12.75">
      <c r="A214" s="1" t="s">
        <v>8</v>
      </c>
      <c r="B214" s="1">
        <v>19</v>
      </c>
      <c r="C214" s="2">
        <f>129/981</f>
        <v>0.13149847094801223</v>
      </c>
    </row>
    <row r="215" spans="1:3" ht="12.75">
      <c r="A215" s="1" t="s">
        <v>8</v>
      </c>
      <c r="B215" s="1">
        <v>20</v>
      </c>
      <c r="C215" s="2">
        <f>119/981</f>
        <v>0.12130479102956167</v>
      </c>
    </row>
    <row r="216" spans="1:3" ht="12.75">
      <c r="A216" s="1" t="s">
        <v>8</v>
      </c>
      <c r="B216" s="1">
        <v>21</v>
      </c>
      <c r="C216" s="2">
        <f>110/981</f>
        <v>0.11213047910295616</v>
      </c>
    </row>
    <row r="217" spans="1:3" ht="12.75">
      <c r="A217" s="1" t="s">
        <v>8</v>
      </c>
      <c r="B217" s="1">
        <v>22</v>
      </c>
      <c r="C217" s="2">
        <f>129/981</f>
        <v>0.13149847094801223</v>
      </c>
    </row>
    <row r="218" spans="1:3" ht="12.75">
      <c r="A218" s="1" t="s">
        <v>8</v>
      </c>
      <c r="B218" s="1">
        <v>23</v>
      </c>
      <c r="C218" s="2">
        <f>75/981</f>
        <v>0.0764525993883792</v>
      </c>
    </row>
    <row r="219" spans="1:3" ht="12.75">
      <c r="A219" s="1" t="s">
        <v>8</v>
      </c>
      <c r="B219" s="1">
        <v>24</v>
      </c>
      <c r="C219" s="2">
        <f>40/981</f>
        <v>0.040774719673802244</v>
      </c>
    </row>
    <row r="220" spans="1:3" ht="12.75">
      <c r="A220" s="1" t="s">
        <v>122</v>
      </c>
      <c r="B220" s="1">
        <v>8</v>
      </c>
      <c r="C220" s="2">
        <f>32/258</f>
        <v>0.12403100775193798</v>
      </c>
    </row>
    <row r="221" spans="1:3" ht="12.75">
      <c r="A221" s="1" t="s">
        <v>122</v>
      </c>
      <c r="B221" s="1">
        <v>11</v>
      </c>
      <c r="C221" s="2">
        <f>25/258</f>
        <v>0.09689922480620156</v>
      </c>
    </row>
    <row r="222" spans="1:3" ht="12.75">
      <c r="A222" s="1" t="s">
        <v>122</v>
      </c>
      <c r="B222" s="1">
        <v>12</v>
      </c>
      <c r="C222" s="2">
        <f>50/258</f>
        <v>0.1937984496124031</v>
      </c>
    </row>
    <row r="223" spans="1:3" ht="12.75">
      <c r="A223" s="1" t="s">
        <v>122</v>
      </c>
      <c r="B223" s="1">
        <v>13</v>
      </c>
      <c r="C223" s="2">
        <f>109/258</f>
        <v>0.42248062015503873</v>
      </c>
    </row>
    <row r="224" spans="1:3" ht="12.75">
      <c r="A224" s="1" t="s">
        <v>122</v>
      </c>
      <c r="B224" s="1">
        <v>14</v>
      </c>
      <c r="C224" s="2">
        <f>42/258</f>
        <v>0.16279069767441862</v>
      </c>
    </row>
    <row r="225" spans="1:3" ht="12.75">
      <c r="A225" s="1" t="s">
        <v>57</v>
      </c>
      <c r="B225" s="1">
        <v>2</v>
      </c>
      <c r="C225" s="2">
        <f>380/9933</f>
        <v>0.03825631732608477</v>
      </c>
    </row>
    <row r="226" spans="1:3" ht="12.75">
      <c r="A226" s="1" t="s">
        <v>57</v>
      </c>
      <c r="B226" s="1">
        <f>B225+1</f>
        <v>3</v>
      </c>
      <c r="C226" s="2">
        <f>1823/9933</f>
        <v>0.18352964864592772</v>
      </c>
    </row>
    <row r="227" spans="1:3" ht="12.75">
      <c r="A227" s="1" t="s">
        <v>57</v>
      </c>
      <c r="B227" s="1">
        <f>B226+1</f>
        <v>4</v>
      </c>
      <c r="C227" s="2">
        <f>1910/9933</f>
        <v>0.19228833182321553</v>
      </c>
    </row>
    <row r="228" spans="1:3" ht="12.75">
      <c r="A228" s="1" t="s">
        <v>57</v>
      </c>
      <c r="B228" s="1">
        <f>B227+1</f>
        <v>5</v>
      </c>
      <c r="C228" s="2">
        <f>2108/9933</f>
        <v>0.2122218866404913</v>
      </c>
    </row>
    <row r="229" spans="1:3" ht="12.75">
      <c r="A229" s="1" t="s">
        <v>57</v>
      </c>
      <c r="B229" s="1">
        <v>11</v>
      </c>
      <c r="C229" s="2">
        <f>594/9933</f>
        <v>0.059800664451827246</v>
      </c>
    </row>
    <row r="230" spans="1:3" ht="12.75">
      <c r="A230" s="1" t="s">
        <v>57</v>
      </c>
      <c r="B230" s="1">
        <f>B229+1</f>
        <v>12</v>
      </c>
      <c r="C230" s="2">
        <f>1001/9933</f>
        <v>0.10077519379844961</v>
      </c>
    </row>
    <row r="231" spans="1:3" ht="12.75">
      <c r="A231" s="1" t="s">
        <v>57</v>
      </c>
      <c r="B231" s="1">
        <f>B230+1</f>
        <v>13</v>
      </c>
      <c r="C231" s="2">
        <f>1155/9933</f>
        <v>0.11627906976744186</v>
      </c>
    </row>
    <row r="232" spans="1:3" ht="12.75">
      <c r="A232" s="1" t="s">
        <v>57</v>
      </c>
      <c r="B232" s="1">
        <f>B231+1</f>
        <v>14</v>
      </c>
      <c r="C232" s="2">
        <f>762/9933</f>
        <v>0.07671398369072788</v>
      </c>
    </row>
    <row r="233" spans="1:3" ht="12.75">
      <c r="A233" s="1" t="s">
        <v>57</v>
      </c>
      <c r="B233" s="1">
        <f>B232+1</f>
        <v>15</v>
      </c>
      <c r="C233" s="2">
        <f>200/9933</f>
        <v>0.020134903855834087</v>
      </c>
    </row>
    <row r="234" spans="1:3" ht="12.75">
      <c r="A234" s="1" t="s">
        <v>34</v>
      </c>
      <c r="B234" s="1">
        <v>10</v>
      </c>
      <c r="C234" s="2">
        <f>47/977</f>
        <v>0.048106448311156604</v>
      </c>
    </row>
    <row r="235" spans="1:3" ht="12.75">
      <c r="A235" s="1" t="s">
        <v>34</v>
      </c>
      <c r="B235" s="1">
        <v>13</v>
      </c>
      <c r="C235" s="2">
        <f>75/977</f>
        <v>0.0767656090071648</v>
      </c>
    </row>
    <row r="236" spans="1:3" ht="12.75">
      <c r="A236" s="1" t="s">
        <v>34</v>
      </c>
      <c r="B236" s="1">
        <v>14</v>
      </c>
      <c r="C236" s="2">
        <f>91/977</f>
        <v>0.0931422722620266</v>
      </c>
    </row>
    <row r="237" spans="1:3" ht="12.75">
      <c r="A237" s="1" t="s">
        <v>34</v>
      </c>
      <c r="B237" s="1">
        <v>15</v>
      </c>
      <c r="C237" s="2">
        <f>355/977</f>
        <v>0.3633572159672467</v>
      </c>
    </row>
    <row r="238" spans="1:3" ht="12.75">
      <c r="A238" s="1" t="s">
        <v>34</v>
      </c>
      <c r="B238" s="1">
        <v>16</v>
      </c>
      <c r="C238" s="2">
        <f>210/977</f>
        <v>0.21494370522006143</v>
      </c>
    </row>
    <row r="239" spans="1:3" ht="12.75">
      <c r="A239" s="1" t="s">
        <v>34</v>
      </c>
      <c r="B239" s="1">
        <v>17</v>
      </c>
      <c r="C239" s="2">
        <f>199/977</f>
        <v>0.20368474923234392</v>
      </c>
    </row>
    <row r="240" spans="1:3" ht="12.75">
      <c r="A240" s="1" t="s">
        <v>41</v>
      </c>
      <c r="B240" s="1">
        <v>8</v>
      </c>
      <c r="C240" s="2">
        <f>119/1000</f>
        <v>0.119</v>
      </c>
    </row>
    <row r="241" spans="1:3" ht="12.75">
      <c r="A241" s="1" t="s">
        <v>41</v>
      </c>
      <c r="B241" s="1">
        <v>9</v>
      </c>
      <c r="C241" s="2">
        <f>80/1000</f>
        <v>0.08</v>
      </c>
    </row>
    <row r="242" spans="1:3" ht="12.75">
      <c r="A242" s="1" t="s">
        <v>41</v>
      </c>
      <c r="B242" s="1">
        <v>10</v>
      </c>
      <c r="C242" s="2">
        <f>69/1000</f>
        <v>0.069</v>
      </c>
    </row>
    <row r="243" spans="1:3" ht="12.75">
      <c r="A243" s="1" t="s">
        <v>41</v>
      </c>
      <c r="B243" s="1">
        <v>11</v>
      </c>
      <c r="C243" s="2">
        <f>300/1000</f>
        <v>0.3</v>
      </c>
    </row>
    <row r="244" spans="1:3" ht="12.75">
      <c r="A244" s="1" t="s">
        <v>41</v>
      </c>
      <c r="B244" s="1">
        <v>12</v>
      </c>
      <c r="C244" s="2">
        <v>0.277</v>
      </c>
    </row>
    <row r="245" spans="1:3" ht="12.75">
      <c r="A245" s="1" t="s">
        <v>41</v>
      </c>
      <c r="B245" s="1">
        <v>13</v>
      </c>
      <c r="C245" s="2">
        <v>0.118</v>
      </c>
    </row>
    <row r="246" spans="1:3" ht="12.75">
      <c r="A246" s="1" t="s">
        <v>41</v>
      </c>
      <c r="B246" s="1">
        <v>14</v>
      </c>
      <c r="C246" s="2">
        <f>37/1000</f>
        <v>0.037</v>
      </c>
    </row>
    <row r="247" spans="1:3" ht="12.75">
      <c r="A247" s="1" t="s">
        <v>59</v>
      </c>
      <c r="B247" s="1">
        <v>6</v>
      </c>
      <c r="C247" s="2">
        <f>330/10000</f>
        <v>0.033</v>
      </c>
    </row>
    <row r="248" spans="1:3" ht="12.75">
      <c r="A248" s="1" t="s">
        <v>59</v>
      </c>
      <c r="B248" s="1">
        <f>B247+1</f>
        <v>7</v>
      </c>
      <c r="C248" s="2">
        <f>2802/10000</f>
        <v>0.2802</v>
      </c>
    </row>
    <row r="249" spans="1:3" ht="12.75">
      <c r="A249" s="1" t="s">
        <v>59</v>
      </c>
      <c r="B249" s="1">
        <f>B248+1</f>
        <v>8</v>
      </c>
      <c r="C249" s="2">
        <f>2033/10000</f>
        <v>0.2033</v>
      </c>
    </row>
    <row r="250" spans="1:3" ht="12.75">
      <c r="A250" s="1" t="s">
        <v>59</v>
      </c>
      <c r="B250" s="1">
        <f>B249+1</f>
        <v>9</v>
      </c>
      <c r="C250" s="2">
        <v>0.228</v>
      </c>
    </row>
    <row r="251" spans="1:3" ht="12.75">
      <c r="A251" s="1" t="s">
        <v>59</v>
      </c>
      <c r="B251" s="1">
        <f>B250+1</f>
        <v>10</v>
      </c>
      <c r="C251" s="2">
        <v>0.1951</v>
      </c>
    </row>
    <row r="252" spans="1:3" ht="12.75">
      <c r="A252" s="1" t="s">
        <v>59</v>
      </c>
      <c r="B252" s="1">
        <f>B251+1</f>
        <v>11</v>
      </c>
      <c r="C252" s="2">
        <f>604/10000</f>
        <v>0.0604</v>
      </c>
    </row>
    <row r="253" spans="1:3" ht="12.75">
      <c r="A253" s="1" t="s">
        <v>121</v>
      </c>
      <c r="B253" s="1">
        <v>9</v>
      </c>
      <c r="C253" s="2">
        <f>32/106</f>
        <v>0.3018867924528302</v>
      </c>
    </row>
    <row r="254" spans="1:3" ht="12.75">
      <c r="A254" s="1" t="s">
        <v>121</v>
      </c>
      <c r="B254" s="1">
        <v>10</v>
      </c>
      <c r="C254" s="2">
        <f>23/106</f>
        <v>0.2169811320754717</v>
      </c>
    </row>
    <row r="255" spans="1:3" ht="12.75">
      <c r="A255" s="1" t="s">
        <v>121</v>
      </c>
      <c r="B255" s="1">
        <v>11</v>
      </c>
      <c r="C255" s="2">
        <f>14/106</f>
        <v>0.1320754716981132</v>
      </c>
    </row>
    <row r="256" spans="1:3" ht="12.75">
      <c r="A256" s="1" t="s">
        <v>121</v>
      </c>
      <c r="B256" s="1">
        <v>12</v>
      </c>
      <c r="C256" s="2">
        <f>23/106</f>
        <v>0.2169811320754717</v>
      </c>
    </row>
    <row r="257" spans="1:3" ht="12.75">
      <c r="A257" s="1" t="s">
        <v>121</v>
      </c>
      <c r="B257" s="1">
        <v>13</v>
      </c>
      <c r="C257" s="2">
        <f>10/106</f>
        <v>0.09433962264150944</v>
      </c>
    </row>
    <row r="258" spans="1:3" ht="12.75">
      <c r="A258" s="1" t="s">
        <v>121</v>
      </c>
      <c r="B258" s="1">
        <v>14</v>
      </c>
      <c r="C258" s="2">
        <f>4/106</f>
        <v>0.03773584905660377</v>
      </c>
    </row>
    <row r="259" spans="1:3" ht="12.75">
      <c r="A259" s="1" t="s">
        <v>120</v>
      </c>
      <c r="B259" s="1">
        <v>9</v>
      </c>
      <c r="C259" s="2">
        <f>11/295</f>
        <v>0.03728813559322034</v>
      </c>
    </row>
    <row r="260" spans="1:3" ht="12.75">
      <c r="A260" s="1" t="s">
        <v>120</v>
      </c>
      <c r="B260" s="1">
        <v>10</v>
      </c>
      <c r="C260" s="2">
        <f>51/295</f>
        <v>0.17288135593220338</v>
      </c>
    </row>
    <row r="261" spans="1:3" ht="12.75">
      <c r="A261" s="1" t="s">
        <v>120</v>
      </c>
      <c r="B261" s="1">
        <v>11</v>
      </c>
      <c r="C261" s="2">
        <f>145/295</f>
        <v>0.4915254237288136</v>
      </c>
    </row>
    <row r="262" spans="1:3" ht="12.75">
      <c r="A262" s="1" t="s">
        <v>120</v>
      </c>
      <c r="B262" s="1">
        <v>12</v>
      </c>
      <c r="C262" s="2">
        <v>0.23728813559322035</v>
      </c>
    </row>
    <row r="263" spans="1:3" ht="12.75">
      <c r="A263" s="1" t="s">
        <v>120</v>
      </c>
      <c r="B263" s="1">
        <v>13</v>
      </c>
      <c r="C263" s="2">
        <v>0.061016949152542375</v>
      </c>
    </row>
    <row r="264" spans="1:3" ht="12.75">
      <c r="A264" s="1" t="s">
        <v>39</v>
      </c>
      <c r="B264" s="1">
        <v>10</v>
      </c>
      <c r="C264" s="2">
        <f>64/987</f>
        <v>0.06484295845997974</v>
      </c>
    </row>
    <row r="265" spans="1:3" ht="12.75">
      <c r="A265" s="1" t="s">
        <v>39</v>
      </c>
      <c r="B265" s="1">
        <v>11</v>
      </c>
      <c r="C265" s="2">
        <f>237/987</f>
        <v>0.24012158054711247</v>
      </c>
    </row>
    <row r="266" spans="1:3" ht="12.75">
      <c r="A266" s="1" t="s">
        <v>39</v>
      </c>
      <c r="B266" s="1">
        <v>12</v>
      </c>
      <c r="C266" s="2">
        <f>348/987</f>
        <v>0.3525835866261398</v>
      </c>
    </row>
    <row r="267" spans="1:3" ht="12.75">
      <c r="A267" s="1" t="s">
        <v>39</v>
      </c>
      <c r="B267" s="1">
        <v>13</v>
      </c>
      <c r="C267" s="2">
        <f>305/987</f>
        <v>0.3090172239108409</v>
      </c>
    </row>
    <row r="268" spans="1:3" ht="12.75">
      <c r="A268" s="1" t="s">
        <v>39</v>
      </c>
      <c r="B268" s="1">
        <v>14</v>
      </c>
      <c r="C268" s="2">
        <f>33/987</f>
        <v>0.03343465045592705</v>
      </c>
    </row>
    <row r="269" spans="1:7" ht="12.75">
      <c r="A269" s="1" t="s">
        <v>65</v>
      </c>
      <c r="B269" s="1">
        <v>20</v>
      </c>
      <c r="C269" s="2">
        <f>4560/10000</f>
        <v>0.456</v>
      </c>
      <c r="G269" s="3"/>
    </row>
    <row r="270" spans="1:3" ht="12.75">
      <c r="A270" s="1" t="s">
        <v>65</v>
      </c>
      <c r="B270" s="1">
        <v>21</v>
      </c>
      <c r="C270" s="2">
        <v>0.0783</v>
      </c>
    </row>
    <row r="271" spans="1:3" ht="12.75">
      <c r="A271" s="1" t="s">
        <v>65</v>
      </c>
      <c r="B271" s="1">
        <v>22</v>
      </c>
      <c r="C271" s="2">
        <f>824/10000</f>
        <v>0.0824</v>
      </c>
    </row>
    <row r="272" spans="1:3" ht="12.75">
      <c r="A272" s="1" t="s">
        <v>65</v>
      </c>
      <c r="B272" s="1">
        <v>23</v>
      </c>
      <c r="C272" s="2">
        <f>1648/10000</f>
        <v>0.1648</v>
      </c>
    </row>
    <row r="273" spans="1:3" ht="12.75">
      <c r="A273" s="1" t="s">
        <v>65</v>
      </c>
      <c r="B273" s="1">
        <v>24</v>
      </c>
      <c r="C273" s="2">
        <f>920/10000</f>
        <v>0.092</v>
      </c>
    </row>
    <row r="274" spans="1:3" ht="12.75">
      <c r="A274" s="1" t="s">
        <v>65</v>
      </c>
      <c r="B274" s="1">
        <v>25</v>
      </c>
      <c r="C274" s="2">
        <f>536/10000</f>
        <v>0.0536</v>
      </c>
    </row>
    <row r="275" spans="1:3" ht="12.75">
      <c r="A275" s="1" t="s">
        <v>65</v>
      </c>
      <c r="B275" s="1">
        <v>26</v>
      </c>
      <c r="C275" s="2">
        <v>0.0302</v>
      </c>
    </row>
    <row r="276" spans="1:3" ht="12.75">
      <c r="A276" s="1" t="s">
        <v>65</v>
      </c>
      <c r="B276" s="1">
        <v>27</v>
      </c>
      <c r="C276" s="2">
        <v>0.0206</v>
      </c>
    </row>
    <row r="277" spans="1:3" ht="12.75">
      <c r="A277" s="1" t="s">
        <v>65</v>
      </c>
      <c r="B277" s="1">
        <v>28</v>
      </c>
      <c r="C277" s="2">
        <v>0.022</v>
      </c>
    </row>
    <row r="278" spans="1:3" ht="12.75">
      <c r="A278" s="1" t="s">
        <v>18</v>
      </c>
      <c r="B278" s="1">
        <v>9</v>
      </c>
      <c r="C278" s="2">
        <f>158/985</f>
        <v>0.16040609137055836</v>
      </c>
    </row>
    <row r="279" spans="1:3" ht="12.75">
      <c r="A279" s="1" t="s">
        <v>18</v>
      </c>
      <c r="B279" s="1">
        <v>10</v>
      </c>
      <c r="C279" s="2">
        <f>280/985</f>
        <v>0.28426395939086296</v>
      </c>
    </row>
    <row r="280" spans="1:3" ht="12.75">
      <c r="A280" s="1" t="s">
        <v>18</v>
      </c>
      <c r="B280" s="1">
        <v>11</v>
      </c>
      <c r="C280" s="2">
        <f>172/985</f>
        <v>0.1746192893401015</v>
      </c>
    </row>
    <row r="281" spans="1:3" ht="12.75">
      <c r="A281" s="1" t="s">
        <v>18</v>
      </c>
      <c r="B281" s="1">
        <v>12</v>
      </c>
      <c r="C281" s="2">
        <f>228/985</f>
        <v>0.23147208121827412</v>
      </c>
    </row>
    <row r="282" spans="1:3" ht="12.75">
      <c r="A282" s="1" t="s">
        <v>18</v>
      </c>
      <c r="B282" s="1">
        <v>13</v>
      </c>
      <c r="C282" s="2">
        <f>110/985</f>
        <v>0.1116751269035533</v>
      </c>
    </row>
    <row r="283" spans="1:3" ht="12.75">
      <c r="A283" s="1" t="s">
        <v>18</v>
      </c>
      <c r="B283" s="1">
        <v>14</v>
      </c>
      <c r="C283" s="2">
        <f>17/985</f>
        <v>0.017258883248730966</v>
      </c>
    </row>
    <row r="284" spans="1:3" ht="12.75">
      <c r="A284" s="1" t="s">
        <v>11</v>
      </c>
      <c r="B284" s="1">
        <v>5</v>
      </c>
      <c r="C284" s="2">
        <f>21/994</f>
        <v>0.02112676056338028</v>
      </c>
    </row>
    <row r="285" spans="1:3" ht="12.75">
      <c r="A285" s="1" t="s">
        <v>11</v>
      </c>
      <c r="B285" s="1">
        <v>6</v>
      </c>
      <c r="C285" s="2">
        <f>64/994</f>
        <v>0.06438631790744467</v>
      </c>
    </row>
    <row r="286" spans="1:3" ht="12.75">
      <c r="A286" s="1" t="s">
        <v>11</v>
      </c>
      <c r="B286" s="1">
        <v>7</v>
      </c>
      <c r="C286" s="2">
        <f>320/994</f>
        <v>0.32193158953722334</v>
      </c>
    </row>
    <row r="287" spans="1:3" ht="12.75">
      <c r="A287" s="1" t="s">
        <v>11</v>
      </c>
      <c r="B287" s="1">
        <v>8</v>
      </c>
      <c r="C287" s="2">
        <f>502/994</f>
        <v>0.5050301810865191</v>
      </c>
    </row>
    <row r="288" spans="1:3" ht="12.75">
      <c r="A288" s="1" t="s">
        <v>11</v>
      </c>
      <c r="B288" s="1">
        <v>9</v>
      </c>
      <c r="C288" s="2">
        <f>87/994</f>
        <v>0.0875251509054326</v>
      </c>
    </row>
    <row r="289" spans="1:3" ht="12.75">
      <c r="A289" s="1" t="s">
        <v>48</v>
      </c>
      <c r="B289" s="1">
        <v>8</v>
      </c>
      <c r="C289" s="2">
        <f>23/996</f>
        <v>0.023092369477911646</v>
      </c>
    </row>
    <row r="290" spans="1:3" ht="12.75">
      <c r="A290" s="1" t="s">
        <v>48</v>
      </c>
      <c r="B290" s="1">
        <v>9</v>
      </c>
      <c r="C290" s="2">
        <f>159/996</f>
        <v>0.15963855421686746</v>
      </c>
    </row>
    <row r="291" spans="1:3" ht="12.75">
      <c r="A291" s="1" t="s">
        <v>48</v>
      </c>
      <c r="B291" s="1">
        <v>10</v>
      </c>
      <c r="C291" s="2">
        <f>84/996</f>
        <v>0.08433734939759036</v>
      </c>
    </row>
    <row r="292" spans="1:3" ht="12.75">
      <c r="A292" s="1" t="s">
        <v>48</v>
      </c>
      <c r="B292" s="1">
        <v>11</v>
      </c>
      <c r="C292" s="2">
        <f>295/996</f>
        <v>0.2961847389558233</v>
      </c>
    </row>
    <row r="293" spans="1:3" ht="12.75">
      <c r="A293" s="1" t="s">
        <v>48</v>
      </c>
      <c r="B293" s="1">
        <v>12</v>
      </c>
      <c r="C293" s="2">
        <f>250/996</f>
        <v>0.25100401606425704</v>
      </c>
    </row>
    <row r="294" spans="1:3" ht="12.75">
      <c r="A294" s="1" t="s">
        <v>48</v>
      </c>
      <c r="B294" s="1">
        <v>13</v>
      </c>
      <c r="C294" s="2">
        <f>156/996</f>
        <v>0.1566265060240964</v>
      </c>
    </row>
    <row r="295" spans="1:3" ht="12.75">
      <c r="A295" s="1" t="s">
        <v>48</v>
      </c>
      <c r="B295" s="1">
        <v>14</v>
      </c>
      <c r="C295" s="2">
        <f>29/996</f>
        <v>0.029116465863453816</v>
      </c>
    </row>
    <row r="296" spans="1:3" ht="12.75">
      <c r="A296" s="1" t="s">
        <v>58</v>
      </c>
      <c r="B296" s="1">
        <v>8</v>
      </c>
      <c r="C296" s="2">
        <f>2951/9770</f>
        <v>0.3020470829068577</v>
      </c>
    </row>
    <row r="297" spans="1:3" ht="12.75">
      <c r="A297" s="1" t="s">
        <v>58</v>
      </c>
      <c r="B297" s="1">
        <f>B296+1</f>
        <v>9</v>
      </c>
      <c r="C297" s="2">
        <f>999/9770</f>
        <v>0.1022517911975435</v>
      </c>
    </row>
    <row r="298" spans="1:3" ht="12.75">
      <c r="A298" s="1" t="s">
        <v>58</v>
      </c>
      <c r="B298" s="1">
        <f>B297+1</f>
        <v>10</v>
      </c>
      <c r="C298" s="2">
        <f>501/9770</f>
        <v>0.05127942681678608</v>
      </c>
    </row>
    <row r="299" spans="1:3" ht="12.75">
      <c r="A299" s="1" t="s">
        <v>58</v>
      </c>
      <c r="B299" s="1">
        <v>26</v>
      </c>
      <c r="C299" s="2">
        <f>635/9770</f>
        <v>0.06499488229273286</v>
      </c>
    </row>
    <row r="300" spans="1:3" ht="12.75">
      <c r="A300" s="1" t="s">
        <v>58</v>
      </c>
      <c r="B300" s="1">
        <f>B299+1</f>
        <v>27</v>
      </c>
      <c r="C300" s="2">
        <f>1148/9770</f>
        <v>0.11750255885363357</v>
      </c>
    </row>
    <row r="301" spans="1:3" ht="12.75">
      <c r="A301" s="1" t="s">
        <v>58</v>
      </c>
      <c r="B301" s="1">
        <f>B300+1</f>
        <v>28</v>
      </c>
      <c r="C301" s="2">
        <f>1508/9770</f>
        <v>0.15435005117707268</v>
      </c>
    </row>
    <row r="302" spans="1:3" ht="12.75">
      <c r="A302" s="1" t="s">
        <v>58</v>
      </c>
      <c r="B302" s="1">
        <f>B301+1</f>
        <v>29</v>
      </c>
      <c r="C302" s="2">
        <f>524/9770</f>
        <v>0.05363357215967247</v>
      </c>
    </row>
    <row r="303" spans="1:3" ht="12.75">
      <c r="A303" s="1" t="s">
        <v>58</v>
      </c>
      <c r="B303" s="1">
        <f>B302+1</f>
        <v>30</v>
      </c>
      <c r="C303" s="2">
        <f>834/9770</f>
        <v>0.08536335721596724</v>
      </c>
    </row>
    <row r="304" spans="1:3" ht="12.75">
      <c r="A304" s="1" t="s">
        <v>58</v>
      </c>
      <c r="B304" s="1">
        <f>B303+1</f>
        <v>31</v>
      </c>
      <c r="C304" s="2">
        <f>670/9770</f>
        <v>0.06857727737973388</v>
      </c>
    </row>
    <row r="305" spans="1:3" ht="12.75">
      <c r="A305" s="1" t="s">
        <v>60</v>
      </c>
      <c r="B305" s="1">
        <v>9</v>
      </c>
      <c r="C305" s="2">
        <f>20/9770</f>
        <v>0.0020470829068577278</v>
      </c>
    </row>
    <row r="306" spans="1:3" ht="12.75">
      <c r="A306" s="1" t="s">
        <v>60</v>
      </c>
      <c r="B306" s="1">
        <v>10</v>
      </c>
      <c r="C306" s="2">
        <f>26/9770</f>
        <v>0.0026612077789150462</v>
      </c>
    </row>
    <row r="307" spans="1:3" ht="12.75">
      <c r="A307" s="1" t="s">
        <v>60</v>
      </c>
      <c r="B307" s="1">
        <v>11</v>
      </c>
      <c r="C307" s="2">
        <v>0.014841351074718526</v>
      </c>
    </row>
    <row r="308" spans="1:3" ht="12.75">
      <c r="A308" s="1" t="s">
        <v>60</v>
      </c>
      <c r="B308" s="1">
        <v>12</v>
      </c>
      <c r="C308" s="2">
        <f>404/9770</f>
        <v>0.0413510747185261</v>
      </c>
    </row>
    <row r="309" spans="1:3" ht="12.75">
      <c r="A309" s="1" t="s">
        <v>60</v>
      </c>
      <c r="B309" s="1">
        <v>13</v>
      </c>
      <c r="C309" s="2">
        <f>317/9770</f>
        <v>0.03244626407369498</v>
      </c>
    </row>
    <row r="310" spans="1:3" ht="12.75">
      <c r="A310" s="1" t="s">
        <v>60</v>
      </c>
      <c r="B310" s="1">
        <v>14</v>
      </c>
      <c r="C310" s="2">
        <f>77/9770</f>
        <v>0.007881269191402251</v>
      </c>
    </row>
    <row r="311" spans="1:3" ht="12.75">
      <c r="A311" s="1" t="s">
        <v>60</v>
      </c>
      <c r="B311" s="1">
        <v>15</v>
      </c>
      <c r="C311" s="2">
        <f>20/9770</f>
        <v>0.0020470829068577278</v>
      </c>
    </row>
    <row r="312" spans="1:3" ht="12.75">
      <c r="A312" s="1" t="s">
        <v>27</v>
      </c>
      <c r="B312" s="1">
        <v>11</v>
      </c>
      <c r="C312" s="2">
        <f>66/958</f>
        <v>0.06889352818371608</v>
      </c>
    </row>
    <row r="313" spans="1:3" ht="12.75">
      <c r="A313" s="1" t="s">
        <v>27</v>
      </c>
      <c r="B313" s="1">
        <v>12</v>
      </c>
      <c r="C313" s="2">
        <f>162/958</f>
        <v>0.16910229645093947</v>
      </c>
    </row>
    <row r="314" spans="1:3" ht="12.75">
      <c r="A314" s="1" t="s">
        <v>27</v>
      </c>
      <c r="B314" s="1">
        <v>13</v>
      </c>
      <c r="C314" s="2">
        <f>142/958</f>
        <v>0.14822546972860126</v>
      </c>
    </row>
    <row r="315" spans="1:3" ht="12.75">
      <c r="A315" s="1" t="s">
        <v>27</v>
      </c>
      <c r="B315" s="1">
        <v>14</v>
      </c>
      <c r="C315" s="2">
        <f>151/958</f>
        <v>0.15762004175365343</v>
      </c>
    </row>
    <row r="316" spans="1:3" ht="12.75">
      <c r="A316" s="1" t="s">
        <v>27</v>
      </c>
      <c r="B316" s="1">
        <v>15</v>
      </c>
      <c r="C316" s="2">
        <f>171/958</f>
        <v>0.17849686847599164</v>
      </c>
    </row>
    <row r="317" spans="1:3" ht="12.75">
      <c r="A317" s="1" t="s">
        <v>27</v>
      </c>
      <c r="B317" s="1">
        <v>16</v>
      </c>
      <c r="C317" s="2">
        <f>268/958</f>
        <v>0.2797494780793319</v>
      </c>
    </row>
    <row r="318" spans="1:3" ht="12.75">
      <c r="A318" s="1" t="s">
        <v>27</v>
      </c>
      <c r="B318" s="1">
        <v>17</v>
      </c>
      <c r="C318" s="2">
        <f>98/958</f>
        <v>0.1022964509394572</v>
      </c>
    </row>
    <row r="319" spans="1:4" ht="12.75">
      <c r="A319" s="1" t="s">
        <v>70</v>
      </c>
      <c r="B319" s="1">
        <v>19</v>
      </c>
      <c r="C319" s="2">
        <f>1250/9643</f>
        <v>0.12962770921912267</v>
      </c>
      <c r="D319" s="3"/>
    </row>
    <row r="320" spans="1:3" ht="12.75">
      <c r="A320" s="1" t="s">
        <v>70</v>
      </c>
      <c r="B320" s="1">
        <v>20</v>
      </c>
      <c r="C320" s="2">
        <f>3036/9643</f>
        <v>0.3148397801514052</v>
      </c>
    </row>
    <row r="321" spans="1:3" ht="12.75">
      <c r="A321" s="1" t="s">
        <v>70</v>
      </c>
      <c r="B321" s="1">
        <v>21</v>
      </c>
      <c r="C321" s="2">
        <f>3274/9643</f>
        <v>0.33952089598672613</v>
      </c>
    </row>
    <row r="322" spans="1:3" ht="12.75">
      <c r="A322" s="1" t="s">
        <v>70</v>
      </c>
      <c r="B322" s="1">
        <v>22</v>
      </c>
      <c r="C322" s="2">
        <v>0.12962770921912267</v>
      </c>
    </row>
    <row r="323" spans="1:3" ht="12.75">
      <c r="A323" s="1" t="s">
        <v>70</v>
      </c>
      <c r="B323" s="1">
        <v>23</v>
      </c>
      <c r="C323" s="2">
        <f>833/9643</f>
        <v>0.08638390542362336</v>
      </c>
    </row>
    <row r="324" spans="1:3" ht="12.75">
      <c r="A324" s="1" t="s">
        <v>16</v>
      </c>
      <c r="B324" s="1">
        <v>9</v>
      </c>
      <c r="C324" s="2">
        <f>33/964</f>
        <v>0.03423236514522822</v>
      </c>
    </row>
    <row r="325" spans="1:3" ht="12.75">
      <c r="A325" s="1" t="s">
        <v>16</v>
      </c>
      <c r="B325" s="1">
        <v>9.2</v>
      </c>
      <c r="C325" s="2">
        <f>107/964</f>
        <v>0.11099585062240663</v>
      </c>
    </row>
    <row r="326" spans="1:3" ht="12.75">
      <c r="A326" s="1" t="s">
        <v>16</v>
      </c>
      <c r="B326" s="1">
        <v>10</v>
      </c>
      <c r="C326" s="2">
        <f>31/964</f>
        <v>0.032157676348547715</v>
      </c>
    </row>
    <row r="327" spans="1:3" ht="12.75">
      <c r="A327" s="1" t="s">
        <v>16</v>
      </c>
      <c r="B327" s="1">
        <v>10.2</v>
      </c>
      <c r="C327" s="2">
        <f>79/964</f>
        <v>0.08195020746887967</v>
      </c>
    </row>
    <row r="328" spans="1:3" ht="12.75">
      <c r="A328" s="1" t="s">
        <v>16</v>
      </c>
      <c r="B328" s="1">
        <v>11</v>
      </c>
      <c r="C328" s="2">
        <f>44/964</f>
        <v>0.04564315352697095</v>
      </c>
    </row>
    <row r="329" spans="1:3" ht="12.75">
      <c r="A329" s="1" t="s">
        <v>16</v>
      </c>
      <c r="B329" s="1">
        <v>11.2</v>
      </c>
      <c r="C329" s="2">
        <f>66/964</f>
        <v>0.06846473029045644</v>
      </c>
    </row>
    <row r="330" spans="1:3" ht="12.75">
      <c r="A330" s="1" t="s">
        <v>16</v>
      </c>
      <c r="B330" s="1">
        <v>12</v>
      </c>
      <c r="C330" s="2">
        <f>223/964</f>
        <v>0.23132780082987553</v>
      </c>
    </row>
    <row r="331" spans="1:3" ht="12.75">
      <c r="A331" s="1" t="s">
        <v>16</v>
      </c>
      <c r="B331" s="1">
        <v>13</v>
      </c>
      <c r="C331" s="2">
        <f>251/964</f>
        <v>0.2603734439834025</v>
      </c>
    </row>
    <row r="332" spans="1:3" ht="12.75">
      <c r="A332" s="1" t="s">
        <v>16</v>
      </c>
      <c r="B332" s="1">
        <v>14</v>
      </c>
      <c r="C332" s="2">
        <f>130/964</f>
        <v>0.13485477178423236</v>
      </c>
    </row>
    <row r="333" spans="1:3" ht="12.75">
      <c r="A333" s="1" t="s">
        <v>129</v>
      </c>
      <c r="B333" s="1">
        <v>24</v>
      </c>
      <c r="C333" s="2">
        <f>7/143</f>
        <v>0.04895104895104895</v>
      </c>
    </row>
    <row r="334" spans="1:3" ht="12.75">
      <c r="A334" s="1" t="s">
        <v>129</v>
      </c>
      <c r="B334" s="1">
        <v>25</v>
      </c>
      <c r="C334" s="2">
        <f>13/143</f>
        <v>0.09090909090909091</v>
      </c>
    </row>
    <row r="335" spans="1:3" ht="12.75">
      <c r="A335" s="1" t="s">
        <v>129</v>
      </c>
      <c r="B335" s="1">
        <v>26</v>
      </c>
      <c r="C335" s="2">
        <f>23/143</f>
        <v>0.16083916083916083</v>
      </c>
    </row>
    <row r="336" spans="1:3" ht="12.75">
      <c r="A336" s="1" t="s">
        <v>129</v>
      </c>
      <c r="B336" s="1">
        <v>27</v>
      </c>
      <c r="C336" s="2">
        <f>33/143</f>
        <v>0.23076923076923078</v>
      </c>
    </row>
    <row r="337" spans="1:3" ht="12.75">
      <c r="A337" s="1" t="s">
        <v>129</v>
      </c>
      <c r="B337" s="1">
        <v>28</v>
      </c>
      <c r="C337" s="2">
        <f>37/143</f>
        <v>0.25874125874125875</v>
      </c>
    </row>
    <row r="338" spans="1:3" ht="12.75">
      <c r="A338" s="1" t="s">
        <v>129</v>
      </c>
      <c r="B338" s="1">
        <v>29</v>
      </c>
      <c r="C338" s="2">
        <f>25/143</f>
        <v>0.17482517482517482</v>
      </c>
    </row>
    <row r="339" spans="1:3" ht="12.75">
      <c r="A339" s="1" t="s">
        <v>129</v>
      </c>
      <c r="B339" s="1">
        <v>30</v>
      </c>
      <c r="C339" s="2">
        <f>5/143</f>
        <v>0.03496503496503497</v>
      </c>
    </row>
    <row r="340" spans="1:3" ht="12.75">
      <c r="A340" s="1" t="s">
        <v>123</v>
      </c>
      <c r="B340" s="1">
        <v>18</v>
      </c>
      <c r="C340" s="2">
        <f>3/69</f>
        <v>0.043478260869565216</v>
      </c>
    </row>
    <row r="341" spans="1:3" ht="12.75">
      <c r="A341" s="1" t="s">
        <v>123</v>
      </c>
      <c r="B341" s="1">
        <v>19</v>
      </c>
      <c r="C341" s="2">
        <v>0.0435</v>
      </c>
    </row>
    <row r="342" spans="1:3" ht="12.75">
      <c r="A342" s="1" t="s">
        <v>123</v>
      </c>
      <c r="B342" s="1">
        <v>20</v>
      </c>
      <c r="C342" s="2">
        <f>8/69</f>
        <v>0.11594202898550725</v>
      </c>
    </row>
    <row r="343" spans="1:3" ht="12.75">
      <c r="A343" s="1" t="s">
        <v>123</v>
      </c>
      <c r="B343" s="1">
        <v>21</v>
      </c>
      <c r="C343" s="2">
        <f>13/69</f>
        <v>0.18840579710144928</v>
      </c>
    </row>
    <row r="344" spans="1:3" ht="12.75">
      <c r="A344" s="1" t="s">
        <v>123</v>
      </c>
      <c r="B344" s="1">
        <v>22</v>
      </c>
      <c r="C344" s="2">
        <f>11/69</f>
        <v>0.15942028985507245</v>
      </c>
    </row>
    <row r="345" spans="1:3" ht="12.75">
      <c r="A345" s="1" t="s">
        <v>123</v>
      </c>
      <c r="B345" s="1">
        <v>23</v>
      </c>
      <c r="C345" s="2">
        <f>4/69</f>
        <v>0.057971014492753624</v>
      </c>
    </row>
    <row r="346" spans="1:3" ht="12.75">
      <c r="A346" s="1" t="s">
        <v>123</v>
      </c>
      <c r="B346" s="1">
        <v>24</v>
      </c>
      <c r="C346" s="2">
        <f>3/69</f>
        <v>0.043478260869565216</v>
      </c>
    </row>
    <row r="347" spans="1:3" ht="12.75">
      <c r="A347" s="1" t="s">
        <v>123</v>
      </c>
      <c r="B347" s="1">
        <v>25</v>
      </c>
      <c r="C347" s="2">
        <f>2/69</f>
        <v>0.028985507246376812</v>
      </c>
    </row>
    <row r="348" spans="1:3" ht="12.75">
      <c r="A348" s="1" t="s">
        <v>123</v>
      </c>
      <c r="B348" s="1">
        <v>26</v>
      </c>
      <c r="C348" s="2">
        <f>6/69</f>
        <v>0.08695652173913043</v>
      </c>
    </row>
    <row r="349" spans="1:3" ht="12.75">
      <c r="A349" s="1" t="s">
        <v>123</v>
      </c>
      <c r="B349" s="1">
        <v>27</v>
      </c>
      <c r="C349" s="2">
        <f>5/69</f>
        <v>0.07246376811594203</v>
      </c>
    </row>
    <row r="350" spans="1:3" ht="12.75">
      <c r="A350" s="1" t="s">
        <v>123</v>
      </c>
      <c r="B350" s="1">
        <v>28</v>
      </c>
      <c r="C350" s="2">
        <f>4/69</f>
        <v>0.057971014492753624</v>
      </c>
    </row>
    <row r="351" spans="1:3" ht="12.75">
      <c r="A351" s="1" t="s">
        <v>123</v>
      </c>
      <c r="B351" s="1">
        <v>29</v>
      </c>
      <c r="C351" s="2">
        <f>3/69</f>
        <v>0.043478260869565216</v>
      </c>
    </row>
    <row r="352" spans="1:3" ht="12.75">
      <c r="A352" s="1" t="s">
        <v>123</v>
      </c>
      <c r="B352" s="1">
        <v>30</v>
      </c>
      <c r="C352" s="2">
        <f>4/69</f>
        <v>0.057971014492753624</v>
      </c>
    </row>
    <row r="353" spans="1:3" ht="12.75">
      <c r="A353" s="1" t="s">
        <v>79</v>
      </c>
      <c r="B353" s="1">
        <v>11</v>
      </c>
      <c r="C353" s="2">
        <f>5/158</f>
        <v>0.03164556962025317</v>
      </c>
    </row>
    <row r="354" spans="1:3" ht="12.75">
      <c r="A354" s="1" t="s">
        <v>79</v>
      </c>
      <c r="B354" s="1">
        <v>12</v>
      </c>
      <c r="C354" s="2">
        <f>9/158</f>
        <v>0.056962025316455694</v>
      </c>
    </row>
    <row r="355" spans="1:3" ht="12.75">
      <c r="A355" s="1" t="s">
        <v>79</v>
      </c>
      <c r="B355" s="1">
        <v>13</v>
      </c>
      <c r="C355" s="2">
        <v>0.0316</v>
      </c>
    </row>
    <row r="356" spans="1:3" ht="12.75">
      <c r="A356" s="1" t="s">
        <v>79</v>
      </c>
      <c r="B356" s="1">
        <v>14</v>
      </c>
      <c r="C356" s="2">
        <f>26/158</f>
        <v>0.16455696202531644</v>
      </c>
    </row>
    <row r="357" spans="1:3" ht="12.75">
      <c r="A357" s="1" t="s">
        <v>79</v>
      </c>
      <c r="B357" s="1">
        <v>15</v>
      </c>
      <c r="C357" s="2">
        <f>92/158</f>
        <v>0.5822784810126582</v>
      </c>
    </row>
    <row r="358" spans="1:3" ht="12.75">
      <c r="A358" s="1" t="s">
        <v>79</v>
      </c>
      <c r="B358" s="1">
        <v>16</v>
      </c>
      <c r="C358" s="2">
        <f>17/158</f>
        <v>0.10759493670886076</v>
      </c>
    </row>
    <row r="359" spans="1:3" ht="12.75">
      <c r="A359" s="1" t="s">
        <v>79</v>
      </c>
      <c r="B359" s="1">
        <v>17</v>
      </c>
      <c r="C359" s="2">
        <f>4/158</f>
        <v>0.02531645569620253</v>
      </c>
    </row>
    <row r="360" spans="1:3" ht="12.75">
      <c r="A360" s="1" t="s">
        <v>43</v>
      </c>
      <c r="B360" s="1">
        <v>12</v>
      </c>
      <c r="C360" s="2">
        <f>130/958</f>
        <v>0.13569937369519833</v>
      </c>
    </row>
    <row r="361" spans="1:3" ht="12.75">
      <c r="A361" s="1" t="s">
        <v>43</v>
      </c>
      <c r="B361" s="1">
        <v>13</v>
      </c>
      <c r="C361" s="2">
        <f>114/958</f>
        <v>0.11899791231732777</v>
      </c>
    </row>
    <row r="362" spans="1:3" ht="12.75">
      <c r="A362" s="1" t="s">
        <v>43</v>
      </c>
      <c r="B362" s="1">
        <v>14</v>
      </c>
      <c r="C362" s="2">
        <f>134/958</f>
        <v>0.13987473903966596</v>
      </c>
    </row>
    <row r="363" spans="1:3" ht="12.75">
      <c r="A363" s="1" t="s">
        <v>43</v>
      </c>
      <c r="B363" s="1">
        <v>15</v>
      </c>
      <c r="C363" s="2">
        <f>153/958</f>
        <v>0.15970772442588727</v>
      </c>
    </row>
    <row r="364" spans="1:3" ht="12.75">
      <c r="A364" s="1" t="s">
        <v>43</v>
      </c>
      <c r="B364" s="1">
        <v>16</v>
      </c>
      <c r="C364" s="2">
        <f>143/958</f>
        <v>0.14926931106471816</v>
      </c>
    </row>
    <row r="365" spans="1:3" ht="12.75">
      <c r="A365" s="1" t="s">
        <v>43</v>
      </c>
      <c r="B365" s="1">
        <v>17</v>
      </c>
      <c r="C365" s="2">
        <f>122/958</f>
        <v>0.12734864300626306</v>
      </c>
    </row>
    <row r="366" spans="1:3" ht="12.75">
      <c r="A366" s="1" t="s">
        <v>43</v>
      </c>
      <c r="B366" s="1">
        <v>18</v>
      </c>
      <c r="C366" s="2">
        <f>88/958</f>
        <v>0.0918580375782881</v>
      </c>
    </row>
    <row r="367" spans="1:3" ht="12.75">
      <c r="A367" s="1" t="s">
        <v>43</v>
      </c>
      <c r="B367" s="1">
        <v>19</v>
      </c>
      <c r="C367" s="2">
        <f>44/958</f>
        <v>0.04592901878914405</v>
      </c>
    </row>
    <row r="368" spans="1:3" ht="12.75">
      <c r="A368" s="1" t="s">
        <v>43</v>
      </c>
      <c r="B368" s="1">
        <v>20</v>
      </c>
      <c r="C368" s="2">
        <f>30/958</f>
        <v>0.031315240083507306</v>
      </c>
    </row>
    <row r="369" spans="1:3" ht="12.75">
      <c r="A369" s="1" t="s">
        <v>10</v>
      </c>
      <c r="B369" s="1">
        <v>9</v>
      </c>
      <c r="C369" s="2">
        <f>110/974</f>
        <v>0.11293634496919917</v>
      </c>
    </row>
    <row r="370" spans="1:3" ht="12.75">
      <c r="A370" s="1" t="s">
        <v>10</v>
      </c>
      <c r="B370" s="1">
        <v>12</v>
      </c>
      <c r="C370" s="2">
        <f>233/974</f>
        <v>0.23921971252566734</v>
      </c>
    </row>
    <row r="371" spans="1:3" ht="12.75">
      <c r="A371" s="1" t="s">
        <v>10</v>
      </c>
      <c r="B371" s="1">
        <v>13</v>
      </c>
      <c r="C371" s="2">
        <f>314/974</f>
        <v>0.32238193018480493</v>
      </c>
    </row>
    <row r="372" spans="1:3" ht="12.75">
      <c r="A372" s="1" t="s">
        <v>10</v>
      </c>
      <c r="B372" s="1">
        <v>14</v>
      </c>
      <c r="C372" s="2">
        <f>203/974</f>
        <v>0.20841889117043122</v>
      </c>
    </row>
    <row r="373" spans="1:3" ht="12.75">
      <c r="A373" s="1" t="s">
        <v>10</v>
      </c>
      <c r="B373" s="1">
        <v>15</v>
      </c>
      <c r="C373" s="2">
        <f>113/974</f>
        <v>0.11601642710472279</v>
      </c>
    </row>
    <row r="374" spans="1:3" ht="12.75">
      <c r="A374" s="1" t="s">
        <v>78</v>
      </c>
      <c r="B374" s="1">
        <v>11</v>
      </c>
      <c r="C374" s="2">
        <f>23/255</f>
        <v>0.09019607843137255</v>
      </c>
    </row>
    <row r="375" spans="1:3" ht="12.75">
      <c r="A375" s="1" t="s">
        <v>78</v>
      </c>
      <c r="B375" s="1">
        <v>12</v>
      </c>
      <c r="C375" s="2">
        <f>3/255</f>
        <v>0.011764705882352941</v>
      </c>
    </row>
    <row r="376" spans="1:3" ht="12.75">
      <c r="A376" s="1" t="s">
        <v>78</v>
      </c>
      <c r="B376" s="1">
        <v>13</v>
      </c>
      <c r="C376" s="2">
        <f>28/255</f>
        <v>0.10980392156862745</v>
      </c>
    </row>
    <row r="377" spans="1:3" ht="12.75">
      <c r="A377" s="1" t="s">
        <v>78</v>
      </c>
      <c r="B377" s="1">
        <v>14</v>
      </c>
      <c r="C377" s="2">
        <f>62/255</f>
        <v>0.24313725490196078</v>
      </c>
    </row>
    <row r="378" spans="1:3" ht="12.75">
      <c r="A378" s="1" t="s">
        <v>78</v>
      </c>
      <c r="B378" s="1">
        <v>15</v>
      </c>
      <c r="C378" s="2">
        <f>27/255</f>
        <v>0.10588235294117647</v>
      </c>
    </row>
    <row r="379" spans="1:3" ht="12.75">
      <c r="A379" s="1" t="s">
        <v>78</v>
      </c>
      <c r="B379" s="1">
        <v>16</v>
      </c>
      <c r="C379" s="2">
        <f>11/255</f>
        <v>0.043137254901960784</v>
      </c>
    </row>
    <row r="380" spans="1:3" ht="12.75">
      <c r="A380" s="1" t="s">
        <v>78</v>
      </c>
      <c r="B380" s="1">
        <v>17</v>
      </c>
      <c r="C380" s="2">
        <f>3/255</f>
        <v>0.011764705882352941</v>
      </c>
    </row>
    <row r="381" spans="1:3" ht="12.75">
      <c r="A381" s="1" t="s">
        <v>78</v>
      </c>
      <c r="B381" s="1">
        <v>11</v>
      </c>
      <c r="C381" s="2">
        <f>33/255</f>
        <v>0.12941176470588237</v>
      </c>
    </row>
    <row r="382" spans="1:3" ht="12.75">
      <c r="A382" s="1" t="s">
        <v>78</v>
      </c>
      <c r="B382" s="1">
        <v>12</v>
      </c>
      <c r="C382" s="2">
        <f>5/255</f>
        <v>0.0196078431372549</v>
      </c>
    </row>
    <row r="383" spans="1:3" ht="12.75">
      <c r="A383" s="1" t="s">
        <v>78</v>
      </c>
      <c r="B383" s="1">
        <v>13</v>
      </c>
      <c r="C383" s="2">
        <f>19/255</f>
        <v>0.07450980392156863</v>
      </c>
    </row>
    <row r="384" spans="1:3" ht="12.75">
      <c r="A384" s="1" t="s">
        <v>78</v>
      </c>
      <c r="B384" s="1">
        <v>14</v>
      </c>
      <c r="C384" s="2">
        <f>30/255</f>
        <v>0.11764705882352941</v>
      </c>
    </row>
    <row r="385" spans="1:3" ht="12.75">
      <c r="A385" s="1" t="s">
        <v>78</v>
      </c>
      <c r="B385" s="1">
        <v>15</v>
      </c>
      <c r="C385" s="2">
        <f>9/255</f>
        <v>0.03529411764705882</v>
      </c>
    </row>
    <row r="386" spans="1:3" ht="12.75">
      <c r="A386" s="1" t="s">
        <v>78</v>
      </c>
      <c r="B386" s="1">
        <v>16</v>
      </c>
      <c r="C386" s="2">
        <f>3/255</f>
        <v>0.011764705882352941</v>
      </c>
    </row>
    <row r="387" spans="1:3" ht="12.75">
      <c r="A387" s="1" t="s">
        <v>125</v>
      </c>
      <c r="B387" s="1">
        <v>7</v>
      </c>
      <c r="C387" s="2">
        <f>28/235</f>
        <v>0.11914893617021277</v>
      </c>
    </row>
    <row r="388" spans="1:3" ht="12.75">
      <c r="A388" s="1" t="s">
        <v>125</v>
      </c>
      <c r="B388" s="1">
        <v>8</v>
      </c>
      <c r="C388" s="2">
        <f>37/235</f>
        <v>0.1574468085106383</v>
      </c>
    </row>
    <row r="389" spans="1:3" ht="12.75">
      <c r="A389" s="1" t="s">
        <v>125</v>
      </c>
      <c r="B389" s="1">
        <v>9</v>
      </c>
      <c r="C389" s="2">
        <f>31/235</f>
        <v>0.13191489361702127</v>
      </c>
    </row>
    <row r="390" spans="1:3" ht="12.75">
      <c r="A390" s="1" t="s">
        <v>125</v>
      </c>
      <c r="B390" s="1">
        <v>10</v>
      </c>
      <c r="C390" s="2">
        <f>19/235</f>
        <v>0.08085106382978724</v>
      </c>
    </row>
    <row r="391" spans="1:3" ht="12.75">
      <c r="A391" s="1" t="s">
        <v>125</v>
      </c>
      <c r="B391" s="1">
        <v>11</v>
      </c>
      <c r="C391" s="2">
        <f>3/235</f>
        <v>0.01276595744680851</v>
      </c>
    </row>
    <row r="392" spans="1:3" ht="12.75">
      <c r="A392" s="1" t="s">
        <v>124</v>
      </c>
      <c r="B392" s="1">
        <v>11</v>
      </c>
      <c r="C392" s="2">
        <f>15/117</f>
        <v>0.1282051282051282</v>
      </c>
    </row>
    <row r="393" spans="1:3" ht="12.75">
      <c r="A393" s="1" t="s">
        <v>124</v>
      </c>
      <c r="B393" s="1">
        <v>12</v>
      </c>
      <c r="C393" s="2">
        <f>37/117</f>
        <v>0.3162393162393162</v>
      </c>
    </row>
    <row r="394" spans="1:3" ht="12.75">
      <c r="A394" s="1" t="s">
        <v>124</v>
      </c>
      <c r="B394" s="1">
        <v>13</v>
      </c>
      <c r="C394" s="2">
        <f>34/117</f>
        <v>0.2905982905982906</v>
      </c>
    </row>
    <row r="395" spans="1:3" ht="12.75">
      <c r="A395" s="1" t="s">
        <v>124</v>
      </c>
      <c r="B395" s="1">
        <v>14</v>
      </c>
      <c r="C395" s="2">
        <f>26/117</f>
        <v>0.2222222222222222</v>
      </c>
    </row>
    <row r="396" spans="1:3" ht="12.75">
      <c r="A396" s="1" t="s">
        <v>124</v>
      </c>
      <c r="B396" s="1">
        <v>15</v>
      </c>
      <c r="C396" s="2">
        <f>5/117</f>
        <v>0.042735042735042736</v>
      </c>
    </row>
    <row r="397" spans="1:3" ht="12.75">
      <c r="A397" s="1" t="s">
        <v>7</v>
      </c>
      <c r="B397" s="1">
        <v>12</v>
      </c>
      <c r="C397" s="2">
        <f>109/984</f>
        <v>0.11077235772357724</v>
      </c>
    </row>
    <row r="398" spans="1:3" ht="12.75">
      <c r="A398" s="1" t="s">
        <v>7</v>
      </c>
      <c r="B398" s="1">
        <v>13</v>
      </c>
      <c r="C398" s="2">
        <f>283/984</f>
        <v>0.28760162601626016</v>
      </c>
    </row>
    <row r="399" spans="1:3" ht="12.75">
      <c r="A399" s="1" t="s">
        <v>7</v>
      </c>
      <c r="B399" s="1">
        <v>13.2</v>
      </c>
      <c r="C399" s="2">
        <f>26/984</f>
        <v>0.026422764227642278</v>
      </c>
    </row>
    <row r="400" spans="1:3" ht="12.75">
      <c r="A400" s="1" t="s">
        <v>7</v>
      </c>
      <c r="B400" s="1">
        <v>14</v>
      </c>
      <c r="C400" s="2">
        <f>336/984</f>
        <v>0.34146341463414637</v>
      </c>
    </row>
    <row r="401" spans="1:3" ht="12.75">
      <c r="A401" s="1" t="s">
        <v>7</v>
      </c>
      <c r="B401" s="1">
        <v>15</v>
      </c>
      <c r="C401" s="2">
        <f>135/984</f>
        <v>0.13719512195121952</v>
      </c>
    </row>
    <row r="402" spans="1:3" ht="12.75">
      <c r="A402" s="1" t="s">
        <v>7</v>
      </c>
      <c r="B402" s="1">
        <v>15.2</v>
      </c>
      <c r="C402" s="2">
        <f>26/984</f>
        <v>0.026422764227642278</v>
      </c>
    </row>
    <row r="403" spans="1:3" ht="12.75">
      <c r="A403" s="1" t="s">
        <v>7</v>
      </c>
      <c r="B403" s="1">
        <v>16</v>
      </c>
      <c r="C403" s="2">
        <f>43/984</f>
        <v>0.04369918699186992</v>
      </c>
    </row>
    <row r="404" spans="1:3" ht="12.75">
      <c r="A404" s="1" t="s">
        <v>7</v>
      </c>
      <c r="B404" s="1">
        <v>16.2</v>
      </c>
      <c r="C404" s="2">
        <f>26/984</f>
        <v>0.026422764227642278</v>
      </c>
    </row>
    <row r="405" spans="1:3" ht="12.75">
      <c r="A405" s="1" t="s">
        <v>76</v>
      </c>
      <c r="B405" s="1">
        <v>8</v>
      </c>
      <c r="C405" s="2">
        <f>304/8121</f>
        <v>0.03743381356975742</v>
      </c>
    </row>
    <row r="406" spans="1:3" ht="12.75">
      <c r="A406" s="1" t="s">
        <v>76</v>
      </c>
      <c r="B406" s="1">
        <v>9</v>
      </c>
      <c r="C406" s="2">
        <v>0.07794606575544884</v>
      </c>
    </row>
    <row r="407" spans="1:3" ht="12.75">
      <c r="A407" s="1" t="s">
        <v>76</v>
      </c>
      <c r="B407" s="1">
        <v>10</v>
      </c>
      <c r="C407" s="2">
        <f>119/8121</f>
        <v>0.014653367811845832</v>
      </c>
    </row>
    <row r="408" spans="1:3" ht="12.75">
      <c r="A408" s="1" t="s">
        <v>76</v>
      </c>
      <c r="B408" s="1">
        <v>11</v>
      </c>
      <c r="C408" s="2">
        <f>2051/8121</f>
        <v>0.2525551040512252</v>
      </c>
    </row>
    <row r="409" spans="1:3" ht="12.75">
      <c r="A409" s="1" t="s">
        <v>76</v>
      </c>
      <c r="B409" s="1">
        <v>12</v>
      </c>
      <c r="C409" s="2">
        <f>1089/8121</f>
        <v>0.13409678611008496</v>
      </c>
    </row>
    <row r="410" spans="1:3" ht="12.75">
      <c r="A410" s="1" t="s">
        <v>76</v>
      </c>
      <c r="B410" s="1">
        <v>13</v>
      </c>
      <c r="C410" s="2">
        <v>0.11845831794114026</v>
      </c>
    </row>
    <row r="411" spans="1:3" ht="12.75">
      <c r="A411" s="1" t="s">
        <v>76</v>
      </c>
      <c r="B411" s="1">
        <v>14</v>
      </c>
      <c r="C411" s="2">
        <v>0.07166605097894348</v>
      </c>
    </row>
    <row r="412" spans="1:3" ht="12.75">
      <c r="A412" s="1" t="s">
        <v>76</v>
      </c>
      <c r="B412" s="1">
        <v>15</v>
      </c>
      <c r="C412" s="2">
        <f>684/8121</f>
        <v>0.0842260805319542</v>
      </c>
    </row>
    <row r="413" spans="1:3" ht="12.75">
      <c r="A413" s="1" t="s">
        <v>76</v>
      </c>
      <c r="B413" s="1">
        <v>16</v>
      </c>
      <c r="C413" s="2">
        <f>456/8121</f>
        <v>0.05615072035463613</v>
      </c>
    </row>
    <row r="414" spans="1:3" ht="12.75">
      <c r="A414" s="1" t="s">
        <v>76</v>
      </c>
      <c r="B414" s="1">
        <v>17</v>
      </c>
      <c r="C414" s="2">
        <v>0.0562</v>
      </c>
    </row>
    <row r="415" spans="1:3" ht="12.75">
      <c r="A415" s="1" t="s">
        <v>76</v>
      </c>
      <c r="B415" s="1">
        <v>18</v>
      </c>
      <c r="C415" s="2">
        <f>532/9121</f>
        <v>0.05832693783576362</v>
      </c>
    </row>
    <row r="416" spans="1:3" ht="12.75">
      <c r="A416" s="1" t="s">
        <v>76</v>
      </c>
      <c r="B416" s="1">
        <v>19</v>
      </c>
      <c r="C416" s="2">
        <v>0.03115379879325206</v>
      </c>
    </row>
    <row r="417" spans="1:7" ht="12.75">
      <c r="A417" s="1" t="s">
        <v>42</v>
      </c>
      <c r="B417" s="1">
        <v>27</v>
      </c>
      <c r="C417" s="2">
        <f>2778/96935</f>
        <v>0.02865837932635271</v>
      </c>
      <c r="D417" s="3"/>
      <c r="G417" s="3"/>
    </row>
    <row r="418" spans="1:3" ht="12.75">
      <c r="A418" s="1" t="s">
        <v>42</v>
      </c>
      <c r="B418" s="1">
        <v>28</v>
      </c>
      <c r="C418" s="2">
        <f>16954/96935</f>
        <v>0.17490070665910146</v>
      </c>
    </row>
    <row r="419" spans="1:3" ht="12.75">
      <c r="A419" s="1" t="s">
        <v>42</v>
      </c>
      <c r="B419" s="1">
        <v>29</v>
      </c>
      <c r="C419" s="2">
        <f>20785/96935</f>
        <v>0.21442203538453602</v>
      </c>
    </row>
    <row r="420" spans="1:3" ht="12.75">
      <c r="A420" s="1" t="s">
        <v>42</v>
      </c>
      <c r="B420" s="1">
        <v>30</v>
      </c>
      <c r="C420" s="2">
        <f>24138/96935</f>
        <v>0.2490122246866457</v>
      </c>
    </row>
    <row r="421" spans="1:3" ht="12.75">
      <c r="A421" s="1" t="s">
        <v>42</v>
      </c>
      <c r="B421" s="1">
        <v>30.2</v>
      </c>
      <c r="C421" s="2">
        <f>2969/96935</f>
        <v>0.030628771857430237</v>
      </c>
    </row>
    <row r="422" spans="1:3" ht="12.75">
      <c r="A422" s="1" t="s">
        <v>42</v>
      </c>
      <c r="B422" s="1">
        <v>31</v>
      </c>
      <c r="C422" s="2">
        <f>5460/96935</f>
        <v>0.05632640429153556</v>
      </c>
    </row>
    <row r="423" spans="1:3" ht="12.75">
      <c r="A423" s="1" t="s">
        <v>42</v>
      </c>
      <c r="B423" s="1">
        <v>31.2</v>
      </c>
      <c r="C423" s="2">
        <f>10632/96935</f>
        <v>0.10968174549956156</v>
      </c>
    </row>
    <row r="424" spans="1:3" ht="12.75">
      <c r="A424" s="1" t="s">
        <v>42</v>
      </c>
      <c r="B424" s="1">
        <v>32.2</v>
      </c>
      <c r="C424" s="2">
        <f>9866/96935</f>
        <v>0.10177954299272708</v>
      </c>
    </row>
    <row r="425" spans="1:3" ht="12.75">
      <c r="A425" s="1" t="s">
        <v>42</v>
      </c>
      <c r="B425" s="1">
        <v>33.2</v>
      </c>
      <c r="C425" s="2">
        <f>3352/96935</f>
        <v>0.034579873110847474</v>
      </c>
    </row>
    <row r="426" spans="1:3" ht="12.75">
      <c r="A426" s="1" t="s">
        <v>56</v>
      </c>
      <c r="B426" s="1">
        <v>6</v>
      </c>
      <c r="C426" s="2">
        <f>692/6996</f>
        <v>0.0989136649514008</v>
      </c>
    </row>
    <row r="427" spans="1:3" ht="12.75">
      <c r="A427" s="1" t="s">
        <v>56</v>
      </c>
      <c r="B427" s="1">
        <f aca="true" t="shared" si="0" ref="B427:B438">B426+1</f>
        <v>7</v>
      </c>
      <c r="C427" s="2">
        <f>1599/9996</f>
        <v>0.1599639855942377</v>
      </c>
    </row>
    <row r="428" spans="1:3" ht="12.75">
      <c r="A428" s="1" t="s">
        <v>56</v>
      </c>
      <c r="B428" s="1">
        <f t="shared" si="0"/>
        <v>8</v>
      </c>
      <c r="C428" s="2">
        <f>1167/9996</f>
        <v>0.1167466986794718</v>
      </c>
    </row>
    <row r="429" spans="1:3" ht="12.75">
      <c r="A429" s="1" t="s">
        <v>56</v>
      </c>
      <c r="B429" s="1">
        <f t="shared" si="0"/>
        <v>9</v>
      </c>
      <c r="C429" s="2">
        <f>1585/9996</f>
        <v>0.15856342537014806</v>
      </c>
    </row>
    <row r="430" spans="1:3" ht="12.75">
      <c r="A430" s="1" t="s">
        <v>56</v>
      </c>
      <c r="B430" s="1">
        <f t="shared" si="0"/>
        <v>10</v>
      </c>
      <c r="C430" s="2">
        <f>807/9996</f>
        <v>0.08073229291716687</v>
      </c>
    </row>
    <row r="431" spans="1:3" ht="12.75">
      <c r="A431" s="1" t="s">
        <v>56</v>
      </c>
      <c r="B431" s="1">
        <f t="shared" si="0"/>
        <v>11</v>
      </c>
      <c r="C431" s="2">
        <f>1023/9996</f>
        <v>0.10234093637454982</v>
      </c>
    </row>
    <row r="432" spans="1:3" ht="12.75">
      <c r="A432" s="1" t="s">
        <v>56</v>
      </c>
      <c r="B432" s="1">
        <f t="shared" si="0"/>
        <v>12</v>
      </c>
      <c r="C432" s="2">
        <f>663/9996</f>
        <v>0.0663265306122449</v>
      </c>
    </row>
    <row r="433" spans="1:3" ht="12.75">
      <c r="A433" s="1" t="s">
        <v>56</v>
      </c>
      <c r="B433" s="1">
        <f t="shared" si="0"/>
        <v>13</v>
      </c>
      <c r="C433" s="2">
        <f>735/9996</f>
        <v>0.07352941176470588</v>
      </c>
    </row>
    <row r="434" spans="1:3" ht="12.75">
      <c r="A434" s="1" t="s">
        <v>56</v>
      </c>
      <c r="B434" s="1">
        <f t="shared" si="0"/>
        <v>14</v>
      </c>
      <c r="C434" s="2">
        <f>418/9996</f>
        <v>0.04181672669067627</v>
      </c>
    </row>
    <row r="435" spans="1:3" ht="12.75">
      <c r="A435" s="1" t="s">
        <v>56</v>
      </c>
      <c r="B435" s="1">
        <f t="shared" si="0"/>
        <v>15</v>
      </c>
      <c r="C435" s="2">
        <f>432/9996</f>
        <v>0.04321728691476591</v>
      </c>
    </row>
    <row r="436" spans="1:3" ht="12.75">
      <c r="A436" s="1" t="s">
        <v>56</v>
      </c>
      <c r="B436" s="1">
        <f t="shared" si="0"/>
        <v>16</v>
      </c>
      <c r="C436" s="2">
        <f>418/9996</f>
        <v>0.04181672669067627</v>
      </c>
    </row>
    <row r="437" spans="1:3" ht="12.75">
      <c r="A437" s="1" t="s">
        <v>56</v>
      </c>
      <c r="B437" s="1">
        <f t="shared" si="0"/>
        <v>17</v>
      </c>
      <c r="C437" s="2">
        <f>231/9996</f>
        <v>0.023109243697478993</v>
      </c>
    </row>
    <row r="438" spans="1:3" ht="12.75">
      <c r="A438" s="1" t="s">
        <v>56</v>
      </c>
      <c r="B438" s="1">
        <f t="shared" si="0"/>
        <v>18</v>
      </c>
      <c r="C438" s="2">
        <f>200/9996</f>
        <v>0.020008003201280513</v>
      </c>
    </row>
    <row r="439" spans="1:3" ht="12.75">
      <c r="A439" s="1" t="s">
        <v>56</v>
      </c>
      <c r="B439" s="1">
        <v>32</v>
      </c>
      <c r="C439" s="2">
        <f>26/9996</f>
        <v>0.0026010404161664665</v>
      </c>
    </row>
    <row r="440" spans="1:3" ht="12.75">
      <c r="A440" s="1" t="s">
        <v>77</v>
      </c>
      <c r="B440" s="1">
        <v>9</v>
      </c>
      <c r="C440" s="2">
        <f>51/155</f>
        <v>0.32903225806451614</v>
      </c>
    </row>
    <row r="441" spans="1:3" ht="12.75">
      <c r="A441" s="1" t="s">
        <v>77</v>
      </c>
      <c r="B441" s="1">
        <v>10</v>
      </c>
      <c r="C441" s="2">
        <f>10/155</f>
        <v>0.06451612903225806</v>
      </c>
    </row>
    <row r="442" spans="1:3" ht="12.75">
      <c r="A442" s="1" t="s">
        <v>77</v>
      </c>
      <c r="B442" s="1">
        <v>11</v>
      </c>
      <c r="C442" s="2">
        <f>4/155</f>
        <v>0.025806451612903226</v>
      </c>
    </row>
    <row r="443" spans="1:3" ht="12.75">
      <c r="A443" s="1" t="s">
        <v>77</v>
      </c>
      <c r="B443" s="1">
        <v>12</v>
      </c>
      <c r="C443" s="2">
        <f>6/155</f>
        <v>0.03870967741935484</v>
      </c>
    </row>
    <row r="444" spans="1:3" ht="12.75">
      <c r="A444" s="1" t="s">
        <v>77</v>
      </c>
      <c r="B444" s="1">
        <v>13</v>
      </c>
      <c r="C444" s="2">
        <f>4/155</f>
        <v>0.025806451612903226</v>
      </c>
    </row>
    <row r="445" spans="1:3" ht="12.75">
      <c r="A445" s="1" t="s">
        <v>77</v>
      </c>
      <c r="B445" s="1">
        <v>14</v>
      </c>
      <c r="C445" s="2">
        <f>7/155</f>
        <v>0.04516129032258064</v>
      </c>
    </row>
    <row r="446" spans="1:3" ht="12.75">
      <c r="A446" s="1" t="s">
        <v>77</v>
      </c>
      <c r="B446" s="1">
        <v>15</v>
      </c>
      <c r="C446" s="2">
        <f>36/155</f>
        <v>0.23225806451612904</v>
      </c>
    </row>
    <row r="447" spans="1:3" ht="12.75">
      <c r="A447" s="1" t="s">
        <v>77</v>
      </c>
      <c r="B447" s="1">
        <v>16</v>
      </c>
      <c r="C447" s="2">
        <f>22/155</f>
        <v>0.14193548387096774</v>
      </c>
    </row>
    <row r="448" spans="1:3" ht="12.75">
      <c r="A448" s="1" t="s">
        <v>77</v>
      </c>
      <c r="B448" s="1">
        <v>17</v>
      </c>
      <c r="C448" s="2">
        <f>9/155</f>
        <v>0.05806451612903226</v>
      </c>
    </row>
    <row r="449" spans="1:3" ht="12.75">
      <c r="A449" s="1" t="s">
        <v>25</v>
      </c>
      <c r="B449" s="1">
        <v>7</v>
      </c>
      <c r="C449" s="2">
        <f>122/973</f>
        <v>0.12538540596094552</v>
      </c>
    </row>
    <row r="450" spans="1:3" ht="12.75">
      <c r="A450" s="1" t="s">
        <v>25</v>
      </c>
      <c r="B450" s="1">
        <v>8</v>
      </c>
      <c r="C450" s="2">
        <f>92/973</f>
        <v>0.09455292908530319</v>
      </c>
    </row>
    <row r="451" spans="1:3" ht="12.75">
      <c r="A451" s="1" t="s">
        <v>25</v>
      </c>
      <c r="B451" s="1">
        <v>9</v>
      </c>
      <c r="C451" s="2">
        <f>83/973</f>
        <v>0.08530318602261049</v>
      </c>
    </row>
    <row r="452" spans="1:3" ht="12.75">
      <c r="A452" s="1" t="s">
        <v>25</v>
      </c>
      <c r="B452" s="1">
        <v>10</v>
      </c>
      <c r="C452" s="2">
        <f>227/973</f>
        <v>0.23329907502569372</v>
      </c>
    </row>
    <row r="453" spans="1:3" ht="12.75">
      <c r="A453" s="1" t="s">
        <v>25</v>
      </c>
      <c r="B453" s="1">
        <v>11</v>
      </c>
      <c r="C453" s="2">
        <f>292/973</f>
        <v>0.3001027749229188</v>
      </c>
    </row>
    <row r="454" spans="1:3" ht="12.75">
      <c r="A454" s="1" t="s">
        <v>25</v>
      </c>
      <c r="B454" s="1">
        <v>12</v>
      </c>
      <c r="C454" s="2">
        <f>157/973</f>
        <v>0.16135662898252826</v>
      </c>
    </row>
    <row r="455" spans="1:3" ht="12.75">
      <c r="A455" s="1" t="s">
        <v>38</v>
      </c>
      <c r="B455" s="1">
        <v>33</v>
      </c>
      <c r="C455" s="2">
        <f>43/909</f>
        <v>0.047304730473047306</v>
      </c>
    </row>
    <row r="456" spans="1:3" ht="12.75">
      <c r="A456" s="1" t="s">
        <v>38</v>
      </c>
      <c r="B456" s="1">
        <v>34</v>
      </c>
      <c r="C456" s="2">
        <f>53/909</f>
        <v>0.058305830583058306</v>
      </c>
    </row>
    <row r="457" spans="1:3" ht="12.75">
      <c r="A457" s="1" t="s">
        <v>38</v>
      </c>
      <c r="B457" s="1">
        <v>35</v>
      </c>
      <c r="C457" s="2">
        <f>76/909</f>
        <v>0.08360836083608361</v>
      </c>
    </row>
    <row r="458" spans="1:3" ht="12.75">
      <c r="A458" s="1" t="s">
        <v>38</v>
      </c>
      <c r="B458" s="1">
        <v>36</v>
      </c>
      <c r="C458" s="2">
        <f>123/973</f>
        <v>0.1264131551901336</v>
      </c>
    </row>
    <row r="459" spans="1:3" ht="12.75">
      <c r="A459" s="1" t="s">
        <v>38</v>
      </c>
      <c r="B459" s="1">
        <v>37</v>
      </c>
      <c r="C459" s="2">
        <f>102/973</f>
        <v>0.10483042137718397</v>
      </c>
    </row>
    <row r="460" spans="1:3" ht="12.75">
      <c r="A460" s="1" t="s">
        <v>38</v>
      </c>
      <c r="B460" s="1">
        <v>38</v>
      </c>
      <c r="C460" s="2">
        <f>136/973</f>
        <v>0.1397738951695786</v>
      </c>
    </row>
    <row r="461" spans="1:3" ht="12.75">
      <c r="A461" s="1" t="s">
        <v>38</v>
      </c>
      <c r="B461" s="1">
        <v>39</v>
      </c>
      <c r="C461" s="2">
        <v>0.10894141829393628</v>
      </c>
    </row>
    <row r="462" spans="1:3" ht="12.75">
      <c r="A462" s="1" t="s">
        <v>38</v>
      </c>
      <c r="B462" s="1">
        <v>40</v>
      </c>
      <c r="C462" s="2">
        <f>81/973</f>
        <v>0.08324768756423433</v>
      </c>
    </row>
    <row r="463" spans="1:3" ht="12.75">
      <c r="A463" s="1" t="s">
        <v>38</v>
      </c>
      <c r="B463" s="1">
        <v>41</v>
      </c>
      <c r="C463" s="2">
        <f>64/973</f>
        <v>0.065775950668037</v>
      </c>
    </row>
    <row r="464" spans="1:3" ht="12.75">
      <c r="A464" s="1" t="s">
        <v>38</v>
      </c>
      <c r="B464" s="1">
        <v>42</v>
      </c>
      <c r="C464" s="2">
        <f>55/973</f>
        <v>0.0565262076053443</v>
      </c>
    </row>
    <row r="465" spans="1:3" ht="12.75">
      <c r="A465" s="1" t="s">
        <v>38</v>
      </c>
      <c r="B465" s="1">
        <v>43</v>
      </c>
      <c r="C465" s="2">
        <f>41/973</f>
        <v>0.0421377183967112</v>
      </c>
    </row>
    <row r="466" spans="1:3" ht="12.75">
      <c r="A466" s="1" t="s">
        <v>38</v>
      </c>
      <c r="B466" s="1">
        <v>44</v>
      </c>
      <c r="C466" s="2">
        <f>29/973</f>
        <v>0.029804727646454265</v>
      </c>
    </row>
    <row r="467" spans="1:3" ht="12.75">
      <c r="A467" s="1" t="s">
        <v>127</v>
      </c>
      <c r="B467" s="1">
        <v>11</v>
      </c>
      <c r="C467" s="2">
        <f>20/139</f>
        <v>0.14388489208633093</v>
      </c>
    </row>
    <row r="468" spans="1:3" ht="12.75">
      <c r="A468" s="1" t="s">
        <v>127</v>
      </c>
      <c r="B468" s="1">
        <v>12</v>
      </c>
      <c r="C468" s="2">
        <f>54/139</f>
        <v>0.38848920863309355</v>
      </c>
    </row>
    <row r="469" spans="1:3" ht="12.75">
      <c r="A469" s="1" t="s">
        <v>127</v>
      </c>
      <c r="B469" s="1">
        <v>13</v>
      </c>
      <c r="C469" s="2">
        <f>24/139</f>
        <v>0.17266187050359713</v>
      </c>
    </row>
    <row r="470" spans="1:3" ht="12.75">
      <c r="A470" s="1" t="s">
        <v>127</v>
      </c>
      <c r="B470" s="1">
        <v>14</v>
      </c>
      <c r="C470" s="2">
        <f>32/139</f>
        <v>0.2302158273381295</v>
      </c>
    </row>
    <row r="471" spans="1:3" ht="12.75">
      <c r="A471" s="1" t="s">
        <v>127</v>
      </c>
      <c r="B471" s="1">
        <v>15</v>
      </c>
      <c r="C471" s="2">
        <f>9/139</f>
        <v>0.06474820143884892</v>
      </c>
    </row>
    <row r="472" spans="1:3" ht="12.75">
      <c r="A472" s="1" t="s">
        <v>128</v>
      </c>
      <c r="B472" s="1">
        <v>12</v>
      </c>
      <c r="C472" s="2">
        <f>19/95</f>
        <v>0.2</v>
      </c>
    </row>
    <row r="473" spans="1:3" ht="12.75">
      <c r="A473" s="1" t="s">
        <v>128</v>
      </c>
      <c r="B473" s="1">
        <v>13</v>
      </c>
      <c r="C473" s="2">
        <f>9/95</f>
        <v>0.09473684210526316</v>
      </c>
    </row>
    <row r="474" spans="1:3" ht="12.75">
      <c r="A474" s="1" t="s">
        <v>128</v>
      </c>
      <c r="B474" s="1">
        <v>15</v>
      </c>
      <c r="C474" s="2">
        <f>49/95</f>
        <v>0.5157894736842106</v>
      </c>
    </row>
    <row r="475" spans="1:3" ht="12.75">
      <c r="A475" s="1" t="s">
        <v>128</v>
      </c>
      <c r="B475" s="1">
        <v>16</v>
      </c>
      <c r="C475" s="2">
        <f>12/95</f>
        <v>0.12631578947368421</v>
      </c>
    </row>
    <row r="476" spans="1:3" ht="12.75">
      <c r="A476" s="1" t="s">
        <v>128</v>
      </c>
      <c r="B476" s="1">
        <v>17</v>
      </c>
      <c r="C476" s="2">
        <f>6/95</f>
        <v>0.06315789473684211</v>
      </c>
    </row>
    <row r="477" spans="1:3" ht="12.75">
      <c r="A477" s="1" t="s">
        <v>126</v>
      </c>
      <c r="B477" s="1">
        <v>11</v>
      </c>
      <c r="C477" s="2">
        <f>16/196</f>
        <v>0.08163265306122448</v>
      </c>
    </row>
    <row r="478" spans="1:3" ht="12.75">
      <c r="A478" s="1" t="s">
        <v>126</v>
      </c>
      <c r="B478" s="1">
        <v>12</v>
      </c>
      <c r="C478" s="2">
        <f>44/196</f>
        <v>0.22448979591836735</v>
      </c>
    </row>
    <row r="479" spans="1:3" ht="12.75">
      <c r="A479" s="1" t="s">
        <v>126</v>
      </c>
      <c r="B479" s="1">
        <v>13</v>
      </c>
      <c r="C479" s="2">
        <f>80/196</f>
        <v>0.40816326530612246</v>
      </c>
    </row>
    <row r="480" spans="1:3" ht="12.75">
      <c r="A480" s="1" t="s">
        <v>126</v>
      </c>
      <c r="B480" s="1">
        <v>14</v>
      </c>
      <c r="C480" s="2">
        <f>31/196</f>
        <v>0.15816326530612246</v>
      </c>
    </row>
    <row r="481" spans="1:3" ht="12.75">
      <c r="A481" s="1" t="s">
        <v>126</v>
      </c>
      <c r="B481" s="1">
        <v>15</v>
      </c>
      <c r="C481" s="2">
        <f>18/196</f>
        <v>0.09183673469387756</v>
      </c>
    </row>
    <row r="482" spans="1:3" ht="12.75">
      <c r="A482" s="1" t="s">
        <v>126</v>
      </c>
      <c r="B482" s="1">
        <v>16</v>
      </c>
      <c r="C482" s="2">
        <f>7/196</f>
        <v>0.03571428571428571</v>
      </c>
    </row>
    <row r="483" spans="1:3" ht="12.75">
      <c r="A483" s="1" t="s">
        <v>26</v>
      </c>
      <c r="B483" s="1">
        <v>7.2</v>
      </c>
      <c r="C483" s="2">
        <f>345/972</f>
        <v>0.3549382716049383</v>
      </c>
    </row>
    <row r="484" spans="1:3" ht="12.75">
      <c r="A484" s="1" t="s">
        <v>26</v>
      </c>
      <c r="B484" s="1">
        <v>8.2</v>
      </c>
      <c r="C484" s="2">
        <f>110/972</f>
        <v>0.11316872427983539</v>
      </c>
    </row>
    <row r="485" spans="1:3" ht="12.75">
      <c r="A485" s="1" t="s">
        <v>26</v>
      </c>
      <c r="B485" s="1">
        <v>9</v>
      </c>
      <c r="C485" s="2">
        <f>28/972</f>
        <v>0.02880658436213992</v>
      </c>
    </row>
    <row r="486" spans="1:3" ht="12.75">
      <c r="A486" s="1" t="s">
        <v>26</v>
      </c>
      <c r="B486" s="1">
        <v>9.2</v>
      </c>
      <c r="C486" s="2">
        <f>85/972</f>
        <v>0.0874485596707819</v>
      </c>
    </row>
    <row r="487" spans="1:3" ht="12.75">
      <c r="A487" s="1" t="s">
        <v>26</v>
      </c>
      <c r="B487" s="1">
        <v>10</v>
      </c>
      <c r="C487" s="2">
        <f>70/972</f>
        <v>0.0720164609053498</v>
      </c>
    </row>
    <row r="488" spans="1:3" ht="12.75">
      <c r="A488" s="1" t="s">
        <v>26</v>
      </c>
      <c r="B488" s="1">
        <v>10.2</v>
      </c>
      <c r="C488" s="2">
        <f>39/972</f>
        <v>0.040123456790123455</v>
      </c>
    </row>
    <row r="489" spans="1:3" ht="12.75">
      <c r="A489" s="1" t="s">
        <v>26</v>
      </c>
      <c r="B489" s="1">
        <v>11</v>
      </c>
      <c r="C489" s="2">
        <f>270/972</f>
        <v>0.2777777777777778</v>
      </c>
    </row>
    <row r="490" spans="1:3" ht="12.75">
      <c r="A490" s="1" t="s">
        <v>26</v>
      </c>
      <c r="B490" s="1">
        <v>12</v>
      </c>
      <c r="C490" s="2">
        <f>25/972</f>
        <v>0.0257201646090535</v>
      </c>
    </row>
    <row r="491" spans="1:4" ht="12.75">
      <c r="A491" s="1" t="s">
        <v>67</v>
      </c>
      <c r="B491" s="1">
        <v>16</v>
      </c>
      <c r="C491" s="2">
        <f>301/9871</f>
        <v>0.030493364400769933</v>
      </c>
      <c r="D491" s="3"/>
    </row>
    <row r="492" spans="1:3" ht="12.75">
      <c r="A492" s="1" t="s">
        <v>67</v>
      </c>
      <c r="B492" s="1">
        <v>17</v>
      </c>
      <c r="C492" s="2">
        <f>1464/9871</f>
        <v>0.1483132408064026</v>
      </c>
    </row>
    <row r="493" spans="1:3" ht="12.75">
      <c r="A493" s="1" t="s">
        <v>67</v>
      </c>
      <c r="B493" s="1">
        <v>20</v>
      </c>
      <c r="C493" s="2">
        <f>506/9871</f>
        <v>0.05126127038800527</v>
      </c>
    </row>
    <row r="494" spans="1:3" ht="12.75">
      <c r="A494" s="1" t="s">
        <v>67</v>
      </c>
      <c r="B494" s="1">
        <v>21</v>
      </c>
      <c r="C494" s="2">
        <f>1669/9871</f>
        <v>0.16908114679363792</v>
      </c>
    </row>
    <row r="495" spans="1:3" ht="12.75">
      <c r="A495" s="1" t="s">
        <v>67</v>
      </c>
      <c r="B495" s="1">
        <v>22</v>
      </c>
      <c r="C495" s="2">
        <f>1423/9871</f>
        <v>0.14415965960895552</v>
      </c>
    </row>
    <row r="496" spans="1:3" ht="12.75">
      <c r="A496" s="1" t="s">
        <v>67</v>
      </c>
      <c r="B496" s="1">
        <v>23</v>
      </c>
      <c r="C496" s="2">
        <f>944/9871</f>
        <v>0.09563367439975687</v>
      </c>
    </row>
    <row r="497" spans="1:3" ht="12.75">
      <c r="A497" s="1" t="s">
        <v>67</v>
      </c>
      <c r="B497" s="1">
        <v>24</v>
      </c>
      <c r="C497" s="2">
        <f>1491/9871</f>
        <v>0.1510485259852092</v>
      </c>
    </row>
    <row r="498" spans="1:3" ht="12.75">
      <c r="A498" s="1" t="s">
        <v>67</v>
      </c>
      <c r="B498" s="1">
        <v>25</v>
      </c>
      <c r="C498" s="2">
        <f>1382/9871</f>
        <v>0.14000607841150847</v>
      </c>
    </row>
    <row r="499" spans="1:3" ht="12.75">
      <c r="A499" s="1" t="s">
        <v>67</v>
      </c>
      <c r="B499" s="1">
        <v>26</v>
      </c>
      <c r="C499" s="2">
        <f>602/9871</f>
        <v>0.060986728801539866</v>
      </c>
    </row>
    <row r="500" spans="1:3" ht="12.75">
      <c r="A500" s="1" t="s">
        <v>35</v>
      </c>
      <c r="B500" s="1">
        <v>6</v>
      </c>
      <c r="C500" s="2">
        <f>34/1002</f>
        <v>0.033932135728542916</v>
      </c>
    </row>
    <row r="501" spans="1:3" ht="12.75">
      <c r="A501" s="1" t="s">
        <v>35</v>
      </c>
      <c r="B501" s="1">
        <v>7</v>
      </c>
      <c r="C501" s="2">
        <f>35/1002</f>
        <v>0.03493013972055888</v>
      </c>
    </row>
    <row r="502" spans="1:3" ht="12.75">
      <c r="A502" s="1" t="s">
        <v>35</v>
      </c>
      <c r="B502" s="1">
        <v>8</v>
      </c>
      <c r="C502" s="2">
        <f>48/1002</f>
        <v>0.04790419161676647</v>
      </c>
    </row>
    <row r="503" spans="1:3" ht="12.75">
      <c r="A503" s="1" t="s">
        <v>35</v>
      </c>
      <c r="B503" s="1">
        <v>9</v>
      </c>
      <c r="C503" s="2">
        <f>43/1002</f>
        <v>0.04291417165668663</v>
      </c>
    </row>
    <row r="504" spans="1:3" ht="12.75">
      <c r="A504" s="1" t="s">
        <v>35</v>
      </c>
      <c r="B504" s="1">
        <v>10</v>
      </c>
      <c r="C504" s="2">
        <f>82/1002</f>
        <v>0.08183632734530938</v>
      </c>
    </row>
    <row r="505" spans="1:3" ht="12.75">
      <c r="A505" s="1" t="s">
        <v>35</v>
      </c>
      <c r="B505" s="1">
        <v>11</v>
      </c>
      <c r="C505" s="2">
        <f>149/1002</f>
        <v>0.14870259481037923</v>
      </c>
    </row>
    <row r="506" spans="1:3" ht="12.75">
      <c r="A506" s="1" t="s">
        <v>35</v>
      </c>
      <c r="B506" s="1">
        <v>12</v>
      </c>
      <c r="C506" s="2">
        <f>153/1002</f>
        <v>0.15269461077844312</v>
      </c>
    </row>
    <row r="507" spans="1:3" ht="12.75">
      <c r="A507" s="1" t="s">
        <v>35</v>
      </c>
      <c r="B507" s="1">
        <v>13</v>
      </c>
      <c r="C507" s="2">
        <f>109/1002</f>
        <v>0.10878243512974052</v>
      </c>
    </row>
    <row r="508" spans="1:3" ht="12.75">
      <c r="A508" s="1" t="s">
        <v>35</v>
      </c>
      <c r="B508" s="1">
        <v>14</v>
      </c>
      <c r="C508" s="2">
        <f>76/1002</f>
        <v>0.07584830339321358</v>
      </c>
    </row>
    <row r="509" spans="1:3" ht="12.75">
      <c r="A509" s="1" t="s">
        <v>35</v>
      </c>
      <c r="B509" s="1">
        <v>15</v>
      </c>
      <c r="C509" s="2">
        <f>50/1002</f>
        <v>0.0499001996007984</v>
      </c>
    </row>
    <row r="510" spans="1:3" ht="12.75">
      <c r="A510" s="1" t="s">
        <v>35</v>
      </c>
      <c r="B510" s="1">
        <v>16</v>
      </c>
      <c r="C510" s="2">
        <f>44/1002</f>
        <v>0.043912175648702596</v>
      </c>
    </row>
    <row r="511" spans="1:3" ht="12.75">
      <c r="A511" s="1" t="s">
        <v>35</v>
      </c>
      <c r="B511" s="1">
        <v>17</v>
      </c>
      <c r="C511" s="2">
        <v>0.0439</v>
      </c>
    </row>
    <row r="512" spans="1:3" ht="12.75">
      <c r="A512" s="1" t="s">
        <v>35</v>
      </c>
      <c r="B512" s="1">
        <v>18</v>
      </c>
      <c r="C512" s="2">
        <v>0.0439</v>
      </c>
    </row>
    <row r="513" spans="1:3" ht="12.75">
      <c r="A513" s="1" t="s">
        <v>35</v>
      </c>
      <c r="B513" s="1">
        <v>19</v>
      </c>
      <c r="C513" s="2">
        <f>45/1002</f>
        <v>0.04491017964071856</v>
      </c>
    </row>
    <row r="514" spans="1:3" ht="12.75">
      <c r="A514" s="1" t="s">
        <v>35</v>
      </c>
      <c r="B514" s="1">
        <v>20</v>
      </c>
      <c r="C514" s="2">
        <f>46/1002</f>
        <v>0.04590818363273453</v>
      </c>
    </row>
    <row r="515" spans="1:3" ht="12.75">
      <c r="A515" s="4" t="s">
        <v>73</v>
      </c>
      <c r="B515" s="4">
        <v>9</v>
      </c>
      <c r="C515" s="2">
        <f>30/332</f>
        <v>0.09036144578313253</v>
      </c>
    </row>
    <row r="516" spans="1:3" ht="12.75">
      <c r="A516" s="1" t="s">
        <v>73</v>
      </c>
      <c r="B516" s="1">
        <v>9</v>
      </c>
      <c r="C516" s="2">
        <f>66/332</f>
        <v>0.19879518072289157</v>
      </c>
    </row>
    <row r="517" spans="1:3" ht="12.75">
      <c r="A517" s="1" t="s">
        <v>73</v>
      </c>
      <c r="B517" s="1">
        <v>13</v>
      </c>
      <c r="C517" s="2">
        <f>6/332</f>
        <v>0.018072289156626505</v>
      </c>
    </row>
    <row r="518" spans="1:3" ht="12.75">
      <c r="A518" s="4" t="s">
        <v>73</v>
      </c>
      <c r="B518" s="4">
        <v>14</v>
      </c>
      <c r="C518" s="2">
        <f>96/332</f>
        <v>0.2891566265060241</v>
      </c>
    </row>
    <row r="519" spans="1:3" ht="12.75">
      <c r="A519" s="4" t="s">
        <v>73</v>
      </c>
      <c r="B519" s="4">
        <v>15</v>
      </c>
      <c r="C519" s="2">
        <f>84/332</f>
        <v>0.25301204819277107</v>
      </c>
    </row>
    <row r="520" spans="1:3" ht="12.75">
      <c r="A520" s="4" t="s">
        <v>73</v>
      </c>
      <c r="B520" s="4">
        <v>16</v>
      </c>
      <c r="C520" s="2">
        <f>43/332</f>
        <v>0.12951807228915663</v>
      </c>
    </row>
    <row r="521" spans="1:3" ht="12.75">
      <c r="A521" s="4" t="s">
        <v>73</v>
      </c>
      <c r="B521" s="4">
        <v>17</v>
      </c>
      <c r="C521" s="2">
        <f>7/332</f>
        <v>0.02108433734939759</v>
      </c>
    </row>
    <row r="522" spans="1:3" ht="12.75">
      <c r="A522" s="4" t="s">
        <v>74</v>
      </c>
      <c r="B522" s="4">
        <v>6</v>
      </c>
      <c r="C522" s="2">
        <f>15/150</f>
        <v>0.1</v>
      </c>
    </row>
    <row r="523" spans="1:3" ht="12.75">
      <c r="A523" s="4" t="s">
        <v>74</v>
      </c>
      <c r="B523" s="4">
        <v>10</v>
      </c>
      <c r="C523" s="2">
        <f>1/150</f>
        <v>0.006666666666666667</v>
      </c>
    </row>
    <row r="524" spans="1:3" ht="12.75">
      <c r="A524" s="4" t="s">
        <v>74</v>
      </c>
      <c r="B524" s="4">
        <v>11</v>
      </c>
      <c r="C524" s="2">
        <f>35/150</f>
        <v>0.23333333333333334</v>
      </c>
    </row>
    <row r="525" spans="1:3" ht="12.75">
      <c r="A525" s="4" t="s">
        <v>74</v>
      </c>
      <c r="B525" s="4">
        <v>12</v>
      </c>
      <c r="C525" s="2">
        <f>31/150</f>
        <v>0.20666666666666667</v>
      </c>
    </row>
    <row r="526" spans="1:3" ht="12.75">
      <c r="A526" s="4" t="s">
        <v>74</v>
      </c>
      <c r="B526" s="4">
        <v>13</v>
      </c>
      <c r="C526" s="2">
        <f>43/150</f>
        <v>0.2866666666666667</v>
      </c>
    </row>
    <row r="527" spans="1:3" ht="12.75">
      <c r="A527" s="4" t="s">
        <v>74</v>
      </c>
      <c r="B527" s="4">
        <v>14</v>
      </c>
      <c r="C527" s="2">
        <f>22/150</f>
        <v>0.14666666666666667</v>
      </c>
    </row>
    <row r="528" spans="1:3" ht="12.75">
      <c r="A528" s="4" t="s">
        <v>74</v>
      </c>
      <c r="B528" s="4">
        <v>15</v>
      </c>
      <c r="C528" s="2">
        <f>3/150</f>
        <v>0.02</v>
      </c>
    </row>
    <row r="529" spans="1:3" ht="12.75">
      <c r="A529" s="4" t="s">
        <v>72</v>
      </c>
      <c r="B529" s="4">
        <v>12</v>
      </c>
      <c r="C529" s="2">
        <f>30/150</f>
        <v>0.2</v>
      </c>
    </row>
    <row r="530" spans="1:3" ht="12.75">
      <c r="A530" s="4" t="s">
        <v>72</v>
      </c>
      <c r="B530" s="4">
        <v>13</v>
      </c>
      <c r="C530" s="2">
        <f>43/150</f>
        <v>0.2866666666666667</v>
      </c>
    </row>
    <row r="531" spans="1:3" ht="12.75">
      <c r="A531" s="4" t="s">
        <v>72</v>
      </c>
      <c r="B531" s="4">
        <v>14</v>
      </c>
      <c r="C531" s="2">
        <f>62/150</f>
        <v>0.41333333333333333</v>
      </c>
    </row>
    <row r="532" spans="1:3" ht="12.75">
      <c r="A532" s="4" t="s">
        <v>72</v>
      </c>
      <c r="B532" s="4">
        <v>15</v>
      </c>
      <c r="C532" s="2">
        <f>15/150</f>
        <v>0.1</v>
      </c>
    </row>
    <row r="533" spans="1:4" ht="12.75">
      <c r="A533" s="1" t="s">
        <v>68</v>
      </c>
      <c r="B533" s="1">
        <v>6</v>
      </c>
      <c r="C533" s="2">
        <f>2071/9621</f>
        <v>0.21525828915913106</v>
      </c>
      <c r="D533" s="3"/>
    </row>
    <row r="534" spans="1:3" ht="12.75">
      <c r="A534" s="1" t="s">
        <v>68</v>
      </c>
      <c r="B534" s="1">
        <v>7</v>
      </c>
      <c r="C534" s="2">
        <f>631/9621</f>
        <v>0.0655856979523958</v>
      </c>
    </row>
    <row r="535" spans="1:3" ht="12.75">
      <c r="A535" s="1" t="s">
        <v>68</v>
      </c>
      <c r="B535" s="1">
        <v>8</v>
      </c>
      <c r="C535" s="2">
        <f>505/9621</f>
        <v>0.05248934622180647</v>
      </c>
    </row>
    <row r="536" spans="1:3" ht="12.75">
      <c r="A536" s="1" t="s">
        <v>68</v>
      </c>
      <c r="B536" s="1">
        <v>12</v>
      </c>
      <c r="C536" s="2">
        <f>985/9621</f>
        <v>0.1023802099573849</v>
      </c>
    </row>
    <row r="537" spans="1:3" ht="12.75">
      <c r="A537" s="1" t="s">
        <v>68</v>
      </c>
      <c r="B537" s="1">
        <v>13</v>
      </c>
      <c r="C537" s="2">
        <f>2247/9621</f>
        <v>0.2335516058621765</v>
      </c>
    </row>
    <row r="538" spans="1:3" ht="12.75">
      <c r="A538" s="1" t="s">
        <v>68</v>
      </c>
      <c r="B538" s="1">
        <v>14</v>
      </c>
      <c r="C538" s="2">
        <f>1010/9621</f>
        <v>0.10497869244361294</v>
      </c>
    </row>
    <row r="539" spans="1:3" ht="12.75">
      <c r="A539" s="1" t="s">
        <v>68</v>
      </c>
      <c r="B539" s="1">
        <v>18</v>
      </c>
      <c r="C539" s="2">
        <f>429/9621</f>
        <v>0.044589959463673216</v>
      </c>
    </row>
    <row r="540" spans="1:3" ht="12.75">
      <c r="A540" s="1" t="s">
        <v>68</v>
      </c>
      <c r="B540" s="1">
        <v>19</v>
      </c>
      <c r="C540" s="2">
        <f>1742/9621</f>
        <v>0.18106225964037</v>
      </c>
    </row>
    <row r="541" spans="1:3" ht="12.75">
      <c r="A541" s="1" t="s">
        <v>66</v>
      </c>
      <c r="B541" s="1">
        <v>19</v>
      </c>
      <c r="C541" s="2">
        <f>294/10003</f>
        <v>0.02939118264520644</v>
      </c>
    </row>
    <row r="542" spans="1:3" ht="12.75">
      <c r="A542" s="1" t="s">
        <v>66</v>
      </c>
      <c r="B542" s="1">
        <v>20</v>
      </c>
      <c r="C542" s="2">
        <f>588/10003</f>
        <v>0.05878236529041288</v>
      </c>
    </row>
    <row r="543" spans="1:3" ht="12.75">
      <c r="A543" s="1" t="s">
        <v>66</v>
      </c>
      <c r="B543" s="1">
        <v>21</v>
      </c>
      <c r="C543" s="2">
        <f>1373/10003</f>
        <v>0.137258822353294</v>
      </c>
    </row>
    <row r="544" spans="1:3" ht="12.75">
      <c r="A544" s="1" t="s">
        <v>66</v>
      </c>
      <c r="B544" s="1">
        <v>22</v>
      </c>
      <c r="C544" s="2">
        <f>3039/10003</f>
        <v>0.30380885734279717</v>
      </c>
    </row>
    <row r="545" spans="1:3" ht="12.75">
      <c r="A545" s="1" t="s">
        <v>66</v>
      </c>
      <c r="B545" s="1">
        <v>23</v>
      </c>
      <c r="C545" s="2">
        <f>2723/10003</f>
        <v>0.2722183344996501</v>
      </c>
    </row>
    <row r="546" spans="1:3" ht="12.75">
      <c r="A546" s="1" t="s">
        <v>66</v>
      </c>
      <c r="B546" s="1">
        <v>24</v>
      </c>
      <c r="C546" s="2">
        <f>1100/10003</f>
        <v>0.10996700989703088</v>
      </c>
    </row>
    <row r="547" spans="1:3" ht="12.75">
      <c r="A547" s="1" t="s">
        <v>66</v>
      </c>
      <c r="B547" s="1">
        <v>25</v>
      </c>
      <c r="C547" s="2">
        <f>686/10003</f>
        <v>0.06857942617214835</v>
      </c>
    </row>
    <row r="548" spans="1:3" ht="12.75">
      <c r="A548" s="1" t="s">
        <v>66</v>
      </c>
      <c r="B548" s="1">
        <v>26</v>
      </c>
      <c r="C548" s="2">
        <f>200/10003</f>
        <v>0.019994001799460162</v>
      </c>
    </row>
    <row r="549" spans="1:3" ht="12.75">
      <c r="A549" s="1" t="s">
        <v>63</v>
      </c>
      <c r="B549" s="1">
        <v>20</v>
      </c>
      <c r="C549" s="2">
        <f>1711/9951</f>
        <v>0.17194251833986535</v>
      </c>
    </row>
    <row r="550" spans="1:3" ht="12.75">
      <c r="A550" s="1" t="s">
        <v>63</v>
      </c>
      <c r="B550" s="1">
        <v>21</v>
      </c>
      <c r="C550" s="2">
        <f>4130/9931</f>
        <v>0.4158694995468734</v>
      </c>
    </row>
    <row r="551" spans="1:3" ht="12.75">
      <c r="A551" s="1" t="s">
        <v>63</v>
      </c>
      <c r="B551" s="1">
        <v>22</v>
      </c>
      <c r="C551" s="2">
        <f>846/9931</f>
        <v>0.0851877957909576</v>
      </c>
    </row>
    <row r="552" spans="1:3" ht="12.75">
      <c r="A552" s="1" t="s">
        <v>63</v>
      </c>
      <c r="B552" s="1">
        <v>23</v>
      </c>
      <c r="C552" s="2">
        <f>2242/9931</f>
        <v>0.22575772832544558</v>
      </c>
    </row>
    <row r="553" spans="1:3" ht="12.75">
      <c r="A553" s="1" t="s">
        <v>63</v>
      </c>
      <c r="B553" s="1">
        <v>24</v>
      </c>
      <c r="C553" s="2">
        <f>1023/9931</f>
        <v>0.10301077434296647</v>
      </c>
    </row>
    <row r="554" spans="1:3" ht="12.75">
      <c r="A554" s="1" t="s">
        <v>50</v>
      </c>
      <c r="B554" s="5">
        <v>10</v>
      </c>
      <c r="C554" s="2">
        <f>53/1000</f>
        <v>0.053</v>
      </c>
    </row>
    <row r="555" spans="1:3" ht="12.75">
      <c r="A555" s="1" t="s">
        <v>50</v>
      </c>
      <c r="B555" s="5">
        <v>11</v>
      </c>
      <c r="C555" s="2">
        <f>144/1000</f>
        <v>0.144</v>
      </c>
    </row>
    <row r="556" spans="1:3" ht="12.75">
      <c r="A556" s="1" t="s">
        <v>50</v>
      </c>
      <c r="B556" s="5">
        <v>12</v>
      </c>
      <c r="C556" s="2">
        <f>225/1000</f>
        <v>0.225</v>
      </c>
    </row>
    <row r="557" spans="1:3" ht="12.75">
      <c r="A557" s="1" t="s">
        <v>50</v>
      </c>
      <c r="B557" s="5">
        <v>13</v>
      </c>
      <c r="C557" s="2">
        <v>0.232</v>
      </c>
    </row>
    <row r="558" spans="1:3" ht="12.75">
      <c r="A558" s="1" t="s">
        <v>50</v>
      </c>
      <c r="B558" s="5">
        <v>14</v>
      </c>
      <c r="C558" s="2">
        <v>0.214</v>
      </c>
    </row>
    <row r="559" spans="1:3" ht="12.75">
      <c r="A559" s="1" t="s">
        <v>50</v>
      </c>
      <c r="B559" s="5">
        <v>15</v>
      </c>
      <c r="C559" s="2" t="s">
        <v>130</v>
      </c>
    </row>
    <row r="560" spans="1:3" ht="12.75">
      <c r="A560" s="1" t="s">
        <v>52</v>
      </c>
      <c r="B560" s="1">
        <v>10</v>
      </c>
      <c r="C560" s="2">
        <f>78/150</f>
        <v>0.52</v>
      </c>
    </row>
    <row r="561" spans="1:3" ht="12.75">
      <c r="A561" s="1" t="s">
        <v>52</v>
      </c>
      <c r="B561" s="1">
        <v>11</v>
      </c>
      <c r="C561" s="2">
        <v>0.17333333333333334</v>
      </c>
    </row>
    <row r="562" spans="1:3" ht="12.75">
      <c r="A562" s="1" t="s">
        <v>52</v>
      </c>
      <c r="B562" s="1">
        <v>12</v>
      </c>
      <c r="C562" s="2">
        <f>6/150</f>
        <v>0.04</v>
      </c>
    </row>
    <row r="563" spans="1:3" ht="12.75">
      <c r="A563" s="1" t="s">
        <v>52</v>
      </c>
      <c r="B563" s="1">
        <v>13</v>
      </c>
      <c r="C563" s="2">
        <f>33/150</f>
        <v>0.22</v>
      </c>
    </row>
    <row r="564" spans="1:3" ht="12.75">
      <c r="A564" s="1" t="s">
        <v>52</v>
      </c>
      <c r="B564" s="1">
        <v>14</v>
      </c>
      <c r="C564" s="2">
        <f>7/150</f>
        <v>0.04666666666666667</v>
      </c>
    </row>
    <row r="565" spans="1:3" ht="12.75">
      <c r="A565" s="1" t="s">
        <v>3</v>
      </c>
      <c r="B565" s="1">
        <v>19</v>
      </c>
      <c r="C565" s="2">
        <f>63/967</f>
        <v>0.06514994829369183</v>
      </c>
    </row>
    <row r="566" spans="1:3" ht="12.75">
      <c r="A566" s="1" t="s">
        <v>3</v>
      </c>
      <c r="B566" s="1">
        <v>20</v>
      </c>
      <c r="C566" s="2">
        <f>112/967</f>
        <v>0.11582213029989659</v>
      </c>
    </row>
    <row r="567" spans="1:3" ht="12.75">
      <c r="A567" s="1" t="s">
        <v>3</v>
      </c>
      <c r="B567" s="1">
        <v>21</v>
      </c>
      <c r="C567" s="2">
        <f>168/967</f>
        <v>0.1737331954498449</v>
      </c>
    </row>
    <row r="568" spans="1:3" ht="12.75">
      <c r="A568" s="1" t="s">
        <v>3</v>
      </c>
      <c r="B568" s="1">
        <v>22</v>
      </c>
      <c r="C568" s="2">
        <f>177/967</f>
        <v>0.18304033092037228</v>
      </c>
    </row>
    <row r="569" spans="1:3" ht="12.75">
      <c r="A569" s="1" t="s">
        <v>3</v>
      </c>
      <c r="B569" s="1">
        <v>23</v>
      </c>
      <c r="C569" s="2">
        <f>143/967</f>
        <v>0.14788004136504654</v>
      </c>
    </row>
    <row r="570" spans="1:3" ht="12.75">
      <c r="A570" s="1" t="s">
        <v>3</v>
      </c>
      <c r="B570" s="1">
        <v>24</v>
      </c>
      <c r="C570" s="2">
        <f>150/967</f>
        <v>0.15511892450879008</v>
      </c>
    </row>
    <row r="571" spans="1:3" ht="12.75">
      <c r="A571" s="1" t="s">
        <v>3</v>
      </c>
      <c r="B571" s="1">
        <v>25</v>
      </c>
      <c r="C571" s="2">
        <f>110/967</f>
        <v>0.11375387797311272</v>
      </c>
    </row>
    <row r="572" spans="1:3" ht="12.75">
      <c r="A572" s="1" t="s">
        <v>3</v>
      </c>
      <c r="B572" s="1">
        <v>26</v>
      </c>
      <c r="C572" s="2">
        <f>44/967</f>
        <v>0.045501551189245086</v>
      </c>
    </row>
    <row r="573" spans="1:3" ht="12.75">
      <c r="A573" s="1" t="s">
        <v>64</v>
      </c>
      <c r="B573" s="1">
        <v>19</v>
      </c>
      <c r="C573" s="2">
        <f>1500/10000</f>
        <v>0.15</v>
      </c>
    </row>
    <row r="574" spans="1:3" ht="12.75">
      <c r="A574" s="1" t="s">
        <v>64</v>
      </c>
      <c r="B574" s="1">
        <v>20</v>
      </c>
      <c r="C574" s="2">
        <f>3125/10000</f>
        <v>0.3125</v>
      </c>
    </row>
    <row r="575" spans="1:3" ht="12.75">
      <c r="A575" s="1" t="s">
        <v>64</v>
      </c>
      <c r="B575" s="1">
        <v>21</v>
      </c>
      <c r="C575" s="2">
        <f>1125/10000</f>
        <v>0.1125</v>
      </c>
    </row>
    <row r="576" spans="1:3" ht="12.75">
      <c r="A576" s="1" t="s">
        <v>64</v>
      </c>
      <c r="B576" s="1">
        <v>22</v>
      </c>
      <c r="C576" s="2">
        <f>1000/10000</f>
        <v>0.1</v>
      </c>
    </row>
    <row r="577" spans="1:3" ht="12.75">
      <c r="A577" s="1" t="s">
        <v>64</v>
      </c>
      <c r="B577" s="1">
        <v>23</v>
      </c>
      <c r="C577" s="2">
        <f>375/10000</f>
        <v>0.0375</v>
      </c>
    </row>
    <row r="578" spans="1:3" ht="12.75">
      <c r="A578" s="1" t="s">
        <v>64</v>
      </c>
      <c r="B578" s="1">
        <v>24</v>
      </c>
      <c r="C578" s="2" t="s">
        <v>131</v>
      </c>
    </row>
    <row r="579" spans="1:3" ht="12.75">
      <c r="A579" s="1" t="s">
        <v>64</v>
      </c>
      <c r="B579" s="1">
        <v>25</v>
      </c>
      <c r="C579" s="2">
        <f>750/10000</f>
        <v>0.075</v>
      </c>
    </row>
    <row r="580" spans="1:3" ht="12.75">
      <c r="A580" s="1" t="s">
        <v>64</v>
      </c>
      <c r="B580" s="1">
        <v>26</v>
      </c>
      <c r="C580" s="2">
        <f>1000/10000</f>
        <v>0.1</v>
      </c>
    </row>
    <row r="581" spans="1:3" ht="12.75">
      <c r="A581" s="1" t="s">
        <v>64</v>
      </c>
      <c r="B581" s="1">
        <v>27</v>
      </c>
      <c r="C581" s="2">
        <f>500/10000</f>
        <v>0.05</v>
      </c>
    </row>
    <row r="582" spans="1:3" ht="12.75">
      <c r="A582" s="1" t="s">
        <v>64</v>
      </c>
      <c r="B582" s="1">
        <v>28</v>
      </c>
      <c r="C582" s="2">
        <f>250/10000</f>
        <v>0.025</v>
      </c>
    </row>
    <row r="583" spans="1:3" ht="12.75">
      <c r="A583" s="1" t="s">
        <v>20</v>
      </c>
      <c r="B583" s="1">
        <v>8</v>
      </c>
      <c r="C583" s="2">
        <f>193/997</f>
        <v>0.19358074222668004</v>
      </c>
    </row>
    <row r="584" spans="1:3" ht="12.75">
      <c r="A584" s="1" t="s">
        <v>20</v>
      </c>
      <c r="B584" s="1">
        <v>9</v>
      </c>
      <c r="C584" s="2">
        <f>217/993</f>
        <v>0.21852970795568982</v>
      </c>
    </row>
    <row r="585" spans="1:3" ht="12.75">
      <c r="A585" s="1" t="s">
        <v>20</v>
      </c>
      <c r="B585" s="1">
        <v>10</v>
      </c>
      <c r="C585" s="2">
        <f>84/993</f>
        <v>0.08459214501510574</v>
      </c>
    </row>
    <row r="586" spans="1:3" ht="12.75">
      <c r="A586" s="1" t="s">
        <v>20</v>
      </c>
      <c r="B586" s="1">
        <v>11</v>
      </c>
      <c r="C586" s="2">
        <v>0.1782477341389728</v>
      </c>
    </row>
    <row r="587" spans="1:3" ht="12.75">
      <c r="A587" s="1" t="s">
        <v>20</v>
      </c>
      <c r="B587" s="1">
        <v>13</v>
      </c>
      <c r="C587" s="2">
        <f>222/993</f>
        <v>0.22356495468277945</v>
      </c>
    </row>
    <row r="588" spans="1:3" ht="12.75">
      <c r="A588" s="1" t="s">
        <v>20</v>
      </c>
      <c r="B588" s="1">
        <v>15</v>
      </c>
      <c r="C588" s="2">
        <f>104/993</f>
        <v>0.10473313192346426</v>
      </c>
    </row>
    <row r="589" spans="1:3" ht="12.75">
      <c r="A589" s="1" t="s">
        <v>62</v>
      </c>
      <c r="B589" s="1">
        <v>15</v>
      </c>
      <c r="C589" s="2">
        <f>240/9804</f>
        <v>0.02447980416156671</v>
      </c>
    </row>
    <row r="590" spans="1:3" ht="12.75">
      <c r="A590" s="1" t="s">
        <v>62</v>
      </c>
      <c r="B590" s="1">
        <v>19</v>
      </c>
      <c r="C590" s="2">
        <f>538/9804</f>
        <v>0.05487556099551204</v>
      </c>
    </row>
    <row r="591" spans="1:3" ht="12.75">
      <c r="A591" s="1" t="s">
        <v>62</v>
      </c>
      <c r="B591" s="1">
        <v>20</v>
      </c>
      <c r="C591" s="2">
        <f>1745/9804</f>
        <v>0.17798857609139127</v>
      </c>
    </row>
    <row r="592" spans="1:3" ht="12.75">
      <c r="A592" s="1" t="s">
        <v>62</v>
      </c>
      <c r="B592" s="1">
        <v>21</v>
      </c>
      <c r="C592" s="2">
        <f>3040/9804</f>
        <v>0.31007751937984496</v>
      </c>
    </row>
    <row r="593" spans="1:3" ht="12.75">
      <c r="A593" s="1" t="s">
        <v>62</v>
      </c>
      <c r="B593" s="1">
        <v>22</v>
      </c>
      <c r="C593" s="2">
        <v>0.30416156670746636</v>
      </c>
    </row>
    <row r="594" spans="1:3" ht="12.75">
      <c r="A594" s="1" t="s">
        <v>62</v>
      </c>
      <c r="B594" s="1">
        <v>23</v>
      </c>
      <c r="C594" s="2">
        <f>858/9804</f>
        <v>0.08751529987760098</v>
      </c>
    </row>
    <row r="595" spans="1:3" ht="12.75">
      <c r="A595" s="1" t="s">
        <v>62</v>
      </c>
      <c r="B595" s="1">
        <v>24</v>
      </c>
      <c r="C595" s="2">
        <f>400/9804</f>
        <v>0.04079967360261118</v>
      </c>
    </row>
    <row r="596" spans="1:3" ht="12.75">
      <c r="A596" s="1" t="s">
        <v>24</v>
      </c>
      <c r="B596" s="1">
        <v>6</v>
      </c>
      <c r="C596" s="2">
        <f>40/996</f>
        <v>0.040160642570281124</v>
      </c>
    </row>
    <row r="597" spans="1:3" ht="12.75">
      <c r="A597" s="1" t="s">
        <v>24</v>
      </c>
      <c r="B597" s="1">
        <v>7</v>
      </c>
      <c r="C597" s="2">
        <f>32/996</f>
        <v>0.0321285140562249</v>
      </c>
    </row>
    <row r="598" spans="1:3" ht="12.75">
      <c r="A598" s="1" t="s">
        <v>24</v>
      </c>
      <c r="B598" s="1">
        <v>8</v>
      </c>
      <c r="C598" s="2">
        <f>184/996</f>
        <v>0.18473895582329317</v>
      </c>
    </row>
    <row r="599" spans="1:3" ht="12.75">
      <c r="A599" s="1" t="s">
        <v>24</v>
      </c>
      <c r="B599" s="1">
        <v>9</v>
      </c>
      <c r="C599" s="2">
        <f>481/996</f>
        <v>0.48293172690763053</v>
      </c>
    </row>
    <row r="600" spans="1:3" ht="12.75">
      <c r="A600" s="1" t="s">
        <v>24</v>
      </c>
      <c r="B600" s="1">
        <v>10</v>
      </c>
      <c r="C600" s="2">
        <f>230/996</f>
        <v>0.23092369477911648</v>
      </c>
    </row>
    <row r="601" spans="1:3" ht="12.75">
      <c r="A601" s="1" t="s">
        <v>24</v>
      </c>
      <c r="B601" s="1">
        <v>11</v>
      </c>
      <c r="C601" s="2">
        <f>29/996</f>
        <v>0.029116465863453816</v>
      </c>
    </row>
    <row r="602" spans="1:4" ht="12.75">
      <c r="A602" s="1" t="s">
        <v>75</v>
      </c>
      <c r="B602" s="1">
        <v>6</v>
      </c>
      <c r="C602" s="2">
        <f>256/9776</f>
        <v>0.02618657937806874</v>
      </c>
      <c r="D602" s="3"/>
    </row>
    <row r="603" spans="1:3" ht="12.75">
      <c r="A603" s="1" t="s">
        <v>75</v>
      </c>
      <c r="B603" s="1">
        <v>7</v>
      </c>
      <c r="C603" s="2">
        <f>799/9776</f>
        <v>0.08173076923076923</v>
      </c>
    </row>
    <row r="604" spans="1:3" ht="12.75">
      <c r="A604" s="1" t="s">
        <v>75</v>
      </c>
      <c r="B604" s="1">
        <v>8</v>
      </c>
      <c r="C604" s="2">
        <f>2460/9776</f>
        <v>0.2516366612111293</v>
      </c>
    </row>
    <row r="605" spans="1:3" ht="12.75">
      <c r="A605" s="1" t="s">
        <v>75</v>
      </c>
      <c r="B605" s="1">
        <v>9</v>
      </c>
      <c r="C605" s="2">
        <f>447/9776</f>
        <v>0.04572422258592471</v>
      </c>
    </row>
    <row r="606" spans="1:3" ht="12.75">
      <c r="A606" s="1" t="s">
        <v>75</v>
      </c>
      <c r="B606" s="1">
        <v>12</v>
      </c>
      <c r="C606" s="2">
        <f>3834/9776</f>
        <v>0.3921849427168576</v>
      </c>
    </row>
    <row r="607" spans="1:3" ht="12.75">
      <c r="A607" s="1" t="s">
        <v>75</v>
      </c>
      <c r="B607" s="1">
        <v>13</v>
      </c>
      <c r="C607" s="2">
        <f>1981/9776</f>
        <v>0.202639116202946</v>
      </c>
    </row>
    <row r="608" spans="1:3" ht="12.75">
      <c r="A608" s="1" t="s">
        <v>44</v>
      </c>
      <c r="B608" s="1">
        <v>8</v>
      </c>
      <c r="C608" s="2">
        <f>44/945</f>
        <v>0.04656084656084656</v>
      </c>
    </row>
    <row r="609" spans="1:3" ht="12.75">
      <c r="A609" s="1" t="s">
        <v>44</v>
      </c>
      <c r="B609" s="1">
        <v>9</v>
      </c>
      <c r="C609" s="2">
        <f>199/945</f>
        <v>0.2105820105820106</v>
      </c>
    </row>
    <row r="610" spans="1:3" ht="12.75">
      <c r="A610" s="1" t="s">
        <v>44</v>
      </c>
      <c r="B610" s="1">
        <v>10</v>
      </c>
      <c r="C610" s="2">
        <f>133/945</f>
        <v>0.14074074074074075</v>
      </c>
    </row>
    <row r="611" spans="1:3" ht="12.75">
      <c r="A611" s="1" t="s">
        <v>44</v>
      </c>
      <c r="B611" s="1">
        <v>11</v>
      </c>
      <c r="C611" s="2">
        <f>166/945</f>
        <v>0.17566137566137566</v>
      </c>
    </row>
    <row r="612" spans="1:3" ht="12.75">
      <c r="A612" s="1" t="s">
        <v>44</v>
      </c>
      <c r="B612" s="1">
        <v>12</v>
      </c>
      <c r="C612" s="2">
        <f>167/945</f>
        <v>0.17671957671957672</v>
      </c>
    </row>
    <row r="613" spans="1:3" ht="12.75">
      <c r="A613" s="1" t="s">
        <v>44</v>
      </c>
      <c r="B613" s="1">
        <v>13</v>
      </c>
      <c r="C613" s="2">
        <f>168/945</f>
        <v>0.17777777777777778</v>
      </c>
    </row>
    <row r="614" spans="1:3" ht="12.75">
      <c r="A614" s="1" t="s">
        <v>44</v>
      </c>
      <c r="B614" s="1">
        <v>14</v>
      </c>
      <c r="C614" s="2">
        <v>0.07195767195767196</v>
      </c>
    </row>
    <row r="615" spans="1:3" ht="12.75">
      <c r="A615" s="1" t="s">
        <v>5</v>
      </c>
      <c r="B615" s="1">
        <v>5</v>
      </c>
      <c r="C615" s="2">
        <f>76/947</f>
        <v>0.08025343189017951</v>
      </c>
    </row>
    <row r="616" spans="1:3" ht="12.75">
      <c r="A616" s="1" t="s">
        <v>5</v>
      </c>
      <c r="B616" s="1">
        <v>7</v>
      </c>
      <c r="C616" s="2">
        <f>154/947</f>
        <v>0.16261879619852165</v>
      </c>
    </row>
    <row r="617" spans="1:3" ht="12.75">
      <c r="A617" s="1" t="s">
        <v>5</v>
      </c>
      <c r="B617" s="1">
        <v>10</v>
      </c>
      <c r="C617" s="2">
        <f>95/947</f>
        <v>0.1003167898627244</v>
      </c>
    </row>
    <row r="618" spans="1:3" ht="12.75">
      <c r="A618" s="1" t="s">
        <v>5</v>
      </c>
      <c r="B618" s="1">
        <v>11</v>
      </c>
      <c r="C618" s="2">
        <f>113/947</f>
        <v>0.11932418162618796</v>
      </c>
    </row>
    <row r="619" spans="1:3" ht="12.75">
      <c r="A619" s="1" t="s">
        <v>5</v>
      </c>
      <c r="B619" s="1">
        <v>12</v>
      </c>
      <c r="C619" s="2">
        <f>177/947</f>
        <v>0.18690601900739176</v>
      </c>
    </row>
    <row r="620" spans="1:3" ht="12.75">
      <c r="A620" s="1" t="s">
        <v>5</v>
      </c>
      <c r="B620" s="1">
        <v>13</v>
      </c>
      <c r="C620" s="2">
        <f>109/947</f>
        <v>0.11510031678986272</v>
      </c>
    </row>
    <row r="621" spans="1:3" ht="12.75">
      <c r="A621" s="1" t="s">
        <v>5</v>
      </c>
      <c r="B621" s="1">
        <v>14</v>
      </c>
      <c r="C621" s="2">
        <f>66/947</f>
        <v>0.06969376979936642</v>
      </c>
    </row>
    <row r="622" spans="1:3" ht="12.75">
      <c r="A622" s="1" t="s">
        <v>5</v>
      </c>
      <c r="B622" s="1">
        <v>15</v>
      </c>
      <c r="C622" s="2">
        <v>0.044350580781414996</v>
      </c>
    </row>
    <row r="623" spans="1:3" ht="12.75">
      <c r="A623" s="1" t="s">
        <v>5</v>
      </c>
      <c r="B623" s="1">
        <v>16</v>
      </c>
      <c r="C623" s="2">
        <f>48/947</f>
        <v>0.050686378035902854</v>
      </c>
    </row>
    <row r="624" spans="1:3" ht="12.75">
      <c r="A624" s="1" t="s">
        <v>5</v>
      </c>
      <c r="B624" s="1">
        <v>17</v>
      </c>
      <c r="C624" s="2">
        <f>45/947</f>
        <v>0.04751847940865892</v>
      </c>
    </row>
    <row r="625" spans="1:3" ht="12.75">
      <c r="A625" s="1" t="s">
        <v>5</v>
      </c>
      <c r="B625" s="1">
        <v>18</v>
      </c>
      <c r="C625" s="2">
        <f>22/947</f>
        <v>0.023231256599788808</v>
      </c>
    </row>
    <row r="626" spans="1:3" ht="12.75">
      <c r="A626" s="1" t="s">
        <v>51</v>
      </c>
      <c r="B626" s="1">
        <v>10</v>
      </c>
      <c r="C626" s="2">
        <f>3/150</f>
        <v>0.02</v>
      </c>
    </row>
    <row r="627" spans="1:3" ht="12.75">
      <c r="A627" s="1" t="s">
        <v>51</v>
      </c>
      <c r="B627" s="1">
        <v>11</v>
      </c>
      <c r="C627" s="2">
        <f>69/150</f>
        <v>0.46</v>
      </c>
    </row>
    <row r="628" spans="1:3" ht="12.75">
      <c r="A628" s="1" t="s">
        <v>51</v>
      </c>
      <c r="B628" s="1">
        <v>12</v>
      </c>
      <c r="C628" s="2">
        <f>20/150</f>
        <v>0.13333333333333333</v>
      </c>
    </row>
    <row r="629" spans="1:3" ht="12.75">
      <c r="A629" s="1" t="s">
        <v>51</v>
      </c>
      <c r="B629" s="1">
        <v>13</v>
      </c>
      <c r="C629" s="2">
        <f>3/150</f>
        <v>0.02</v>
      </c>
    </row>
    <row r="630" spans="1:3" ht="12.75">
      <c r="A630" s="1" t="s">
        <v>51</v>
      </c>
      <c r="B630" s="1">
        <v>14</v>
      </c>
      <c r="C630" s="2">
        <f>20/150</f>
        <v>0.13333333333333333</v>
      </c>
    </row>
    <row r="631" spans="1:3" ht="12.75">
      <c r="A631" s="1" t="s">
        <v>51</v>
      </c>
      <c r="B631" s="1">
        <v>15</v>
      </c>
      <c r="C631" s="2">
        <f>22/150</f>
        <v>0.14666666666666667</v>
      </c>
    </row>
    <row r="632" spans="1:3" ht="12.75">
      <c r="A632" s="1" t="s">
        <v>51</v>
      </c>
      <c r="B632" s="1">
        <v>16</v>
      </c>
      <c r="C632" s="2">
        <f>14/150</f>
        <v>0.09333333333333334</v>
      </c>
    </row>
    <row r="633" spans="1:4" ht="12.75">
      <c r="A633" s="1" t="s">
        <v>54</v>
      </c>
      <c r="B633" s="1">
        <v>8</v>
      </c>
      <c r="C633" s="2">
        <f>117/150</f>
        <v>0.78</v>
      </c>
      <c r="D633" s="3"/>
    </row>
    <row r="634" spans="1:3" ht="12.75">
      <c r="A634" s="1" t="s">
        <v>54</v>
      </c>
      <c r="B634" s="1">
        <v>10</v>
      </c>
      <c r="C634" s="2">
        <f>13/150</f>
        <v>0.08666666666666667</v>
      </c>
    </row>
    <row r="635" spans="1:3" ht="12.75">
      <c r="A635" s="1" t="s">
        <v>54</v>
      </c>
      <c r="B635" s="1">
        <v>11</v>
      </c>
      <c r="C635" s="2">
        <f>19/150</f>
        <v>0.12666666666666668</v>
      </c>
    </row>
    <row r="636" spans="1:3" ht="12.75">
      <c r="A636" s="6" t="s">
        <v>97</v>
      </c>
      <c r="B636" s="1">
        <v>1</v>
      </c>
      <c r="C636" s="2">
        <f>77/160</f>
        <v>0.48125</v>
      </c>
    </row>
    <row r="637" spans="1:3" ht="12.75">
      <c r="A637" s="6" t="str">
        <f>A636</f>
        <v>rs1305047</v>
      </c>
      <c r="B637" s="1">
        <v>2</v>
      </c>
      <c r="C637" s="2">
        <f>83/160</f>
        <v>0.51875</v>
      </c>
    </row>
    <row r="638" spans="1:3" ht="12.75">
      <c r="A638" s="6" t="s">
        <v>93</v>
      </c>
      <c r="B638" s="1">
        <v>1</v>
      </c>
      <c r="C638" s="2">
        <f>92/160</f>
        <v>0.575</v>
      </c>
    </row>
    <row r="639" spans="1:3" ht="12.75">
      <c r="A639" s="6" t="str">
        <f>A638</f>
        <v>rs140709</v>
      </c>
      <c r="B639" s="1">
        <v>2</v>
      </c>
      <c r="C639" s="2">
        <f>68/160</f>
        <v>0.425</v>
      </c>
    </row>
    <row r="640" spans="1:3" ht="12.75">
      <c r="A640" s="6" t="s">
        <v>94</v>
      </c>
      <c r="B640" s="1">
        <v>1</v>
      </c>
      <c r="C640" s="2">
        <f>100/160</f>
        <v>0.625</v>
      </c>
    </row>
    <row r="641" spans="1:3" ht="12.75">
      <c r="A641" s="6" t="str">
        <f>A640</f>
        <v>rs140733</v>
      </c>
      <c r="B641" s="1">
        <v>2</v>
      </c>
      <c r="C641" s="2">
        <f>60/160</f>
        <v>0.375</v>
      </c>
    </row>
    <row r="642" spans="1:3" ht="12.75">
      <c r="A642" s="6" t="s">
        <v>95</v>
      </c>
      <c r="B642" s="1">
        <v>1</v>
      </c>
      <c r="C642" s="2">
        <f>69/160</f>
        <v>0.43125</v>
      </c>
    </row>
    <row r="643" spans="1:3" ht="12.75">
      <c r="A643" s="6" t="str">
        <f>A642</f>
        <v>rs140757</v>
      </c>
      <c r="B643" s="1">
        <v>2</v>
      </c>
      <c r="C643" s="2">
        <f>91/160</f>
        <v>0.56875</v>
      </c>
    </row>
    <row r="644" spans="1:3" ht="12.75">
      <c r="A644" s="6" t="s">
        <v>96</v>
      </c>
      <c r="B644" s="1">
        <v>1</v>
      </c>
      <c r="C644" s="2">
        <f>84/160</f>
        <v>0.525</v>
      </c>
    </row>
    <row r="645" spans="1:3" ht="12.75">
      <c r="A645" s="6" t="str">
        <f>A644</f>
        <v>rs140759</v>
      </c>
      <c r="B645" s="1">
        <v>2</v>
      </c>
      <c r="C645" s="2">
        <f>76/160</f>
        <v>0.475</v>
      </c>
    </row>
    <row r="646" spans="1:3" ht="12.75">
      <c r="A646" s="6" t="s">
        <v>98</v>
      </c>
      <c r="B646" s="1">
        <v>1</v>
      </c>
      <c r="C646" s="2">
        <f>73/160</f>
        <v>0.45625</v>
      </c>
    </row>
    <row r="647" spans="1:3" ht="12.75">
      <c r="A647" s="6" t="str">
        <f>A646</f>
        <v>rs1610874</v>
      </c>
      <c r="B647" s="1">
        <v>2</v>
      </c>
      <c r="C647" s="2">
        <f>87/160</f>
        <v>0.54375</v>
      </c>
    </row>
    <row r="648" spans="1:3" ht="12.75">
      <c r="A648" s="6" t="s">
        <v>99</v>
      </c>
      <c r="B648" s="1">
        <v>1</v>
      </c>
      <c r="C648" s="2">
        <f>56/160</f>
        <v>0.35</v>
      </c>
    </row>
    <row r="649" spans="1:3" ht="12.75">
      <c r="A649" s="6" t="str">
        <f>A648</f>
        <v>rs1610942</v>
      </c>
      <c r="B649" s="1">
        <v>2</v>
      </c>
      <c r="C649" s="2">
        <f>104/160</f>
        <v>0.65</v>
      </c>
    </row>
    <row r="650" spans="1:3" ht="12.75">
      <c r="A650" s="6" t="s">
        <v>100</v>
      </c>
      <c r="B650" s="1">
        <v>1</v>
      </c>
      <c r="C650" s="2">
        <f>73/160</f>
        <v>0.45625</v>
      </c>
    </row>
    <row r="651" spans="1:3" ht="12.75">
      <c r="A651" s="6" t="str">
        <f>A650</f>
        <v>rs1610997</v>
      </c>
      <c r="B651" s="1">
        <v>2</v>
      </c>
      <c r="C651" s="2">
        <f>87/160</f>
        <v>0.54375</v>
      </c>
    </row>
    <row r="652" spans="1:3" ht="12.75">
      <c r="A652" s="6" t="s">
        <v>101</v>
      </c>
      <c r="B652" s="1">
        <v>1</v>
      </c>
      <c r="C652" s="2">
        <f>69/160</f>
        <v>0.43125</v>
      </c>
    </row>
    <row r="653" spans="1:3" ht="12.75">
      <c r="A653" s="6" t="str">
        <f>A652</f>
        <v>rs1611001</v>
      </c>
      <c r="B653" s="1">
        <v>2</v>
      </c>
      <c r="C653" s="2">
        <f>91/160</f>
        <v>0.56875</v>
      </c>
    </row>
    <row r="654" spans="1:3" ht="12.75">
      <c r="A654" s="7" t="s">
        <v>102</v>
      </c>
      <c r="B654" s="1">
        <v>1</v>
      </c>
      <c r="C654" s="2">
        <f>73/160</f>
        <v>0.45625</v>
      </c>
    </row>
    <row r="655" spans="1:3" ht="12.75">
      <c r="A655" s="6" t="str">
        <f>A654</f>
        <v>rs1611084</v>
      </c>
      <c r="B655" s="1">
        <v>2</v>
      </c>
      <c r="C655" s="2">
        <f>87/160</f>
        <v>0.54375</v>
      </c>
    </row>
    <row r="656" spans="1:3" ht="12.75">
      <c r="A656" s="6" t="s">
        <v>83</v>
      </c>
      <c r="B656" s="1">
        <v>1</v>
      </c>
      <c r="C656" s="2">
        <f>80/160</f>
        <v>0.5</v>
      </c>
    </row>
    <row r="657" spans="1:3" ht="12.75">
      <c r="A657" s="6" t="str">
        <f>A656</f>
        <v>rs16343</v>
      </c>
      <c r="B657" s="1">
        <v>2</v>
      </c>
      <c r="C657" s="2">
        <v>0.5</v>
      </c>
    </row>
    <row r="658" spans="1:3" ht="12.75">
      <c r="A658" s="6" t="s">
        <v>84</v>
      </c>
      <c r="B658" s="1">
        <v>1</v>
      </c>
      <c r="C658" s="2">
        <f>60/160</f>
        <v>0.375</v>
      </c>
    </row>
    <row r="659" spans="1:3" ht="12.75">
      <c r="A659" s="6" t="str">
        <f>A658</f>
        <v>rs16381</v>
      </c>
      <c r="B659" s="1">
        <v>2</v>
      </c>
      <c r="C659" s="2">
        <f>100/160</f>
        <v>0.625</v>
      </c>
    </row>
    <row r="660" spans="1:3" ht="12.75">
      <c r="A660" s="6" t="s">
        <v>85</v>
      </c>
      <c r="B660" s="1">
        <v>1</v>
      </c>
      <c r="C660" s="2">
        <f>90/160</f>
        <v>0.5625</v>
      </c>
    </row>
    <row r="661" spans="1:3" ht="12.75">
      <c r="A661" s="6" t="str">
        <f>A660</f>
        <v>rs16394</v>
      </c>
      <c r="B661" s="1">
        <v>2</v>
      </c>
      <c r="C661" s="2">
        <f>70/160</f>
        <v>0.4375</v>
      </c>
    </row>
    <row r="662" spans="1:3" ht="12.75">
      <c r="A662" s="6" t="s">
        <v>86</v>
      </c>
      <c r="B662" s="1">
        <v>1</v>
      </c>
      <c r="C662" s="2">
        <f>79/160</f>
        <v>0.49375</v>
      </c>
    </row>
    <row r="663" spans="1:3" ht="12.75">
      <c r="A663" s="6" t="str">
        <f>A662</f>
        <v>rs16415</v>
      </c>
      <c r="B663" s="1">
        <v>2</v>
      </c>
      <c r="C663" s="2">
        <f>81/160</f>
        <v>0.50625</v>
      </c>
    </row>
    <row r="664" spans="1:3" ht="12.75">
      <c r="A664" s="6" t="s">
        <v>87</v>
      </c>
      <c r="B664" s="1">
        <v>1</v>
      </c>
      <c r="C664" s="2">
        <f>63/160</f>
        <v>0.39375</v>
      </c>
    </row>
    <row r="665" spans="1:3" ht="12.75">
      <c r="A665" s="6" t="str">
        <f>A664</f>
        <v>rs16416</v>
      </c>
      <c r="B665" s="1">
        <v>2</v>
      </c>
      <c r="C665" s="2">
        <f>97/160</f>
        <v>0.60625</v>
      </c>
    </row>
    <row r="666" spans="1:3" ht="12.75">
      <c r="A666" s="6" t="s">
        <v>88</v>
      </c>
      <c r="B666" s="1">
        <v>1</v>
      </c>
      <c r="C666" s="2">
        <f>94/160</f>
        <v>0.5875</v>
      </c>
    </row>
    <row r="667" spans="1:3" ht="12.75">
      <c r="A667" s="6" t="str">
        <f>A666</f>
        <v>rs16430</v>
      </c>
      <c r="B667" s="1">
        <v>2</v>
      </c>
      <c r="C667" s="2">
        <f>66/160</f>
        <v>0.4125</v>
      </c>
    </row>
    <row r="668" spans="1:3" ht="12.75">
      <c r="A668" s="6" t="s">
        <v>89</v>
      </c>
      <c r="B668" s="1">
        <v>1</v>
      </c>
      <c r="C668" s="2">
        <f>58/160</f>
        <v>0.3625</v>
      </c>
    </row>
    <row r="669" spans="1:3" ht="12.75">
      <c r="A669" s="6" t="str">
        <f>A668</f>
        <v>rs16438</v>
      </c>
      <c r="B669" s="1">
        <v>2</v>
      </c>
      <c r="C669" s="2">
        <f>102/160</f>
        <v>0.6375</v>
      </c>
    </row>
    <row r="670" spans="1:3" ht="12.75">
      <c r="A670" s="6" t="s">
        <v>90</v>
      </c>
      <c r="B670" s="1">
        <v>1</v>
      </c>
      <c r="C670" s="2">
        <v>0.5</v>
      </c>
    </row>
    <row r="671" spans="1:3" ht="12.75">
      <c r="A671" s="6" t="str">
        <f>A670</f>
        <v>rs16448</v>
      </c>
      <c r="B671" s="1">
        <v>2</v>
      </c>
      <c r="C671" s="2">
        <v>0.5</v>
      </c>
    </row>
    <row r="672" spans="1:3" ht="12.75">
      <c r="A672" s="6" t="s">
        <v>91</v>
      </c>
      <c r="B672" s="1">
        <v>1</v>
      </c>
      <c r="C672" s="2">
        <f>72/160</f>
        <v>0.45</v>
      </c>
    </row>
    <row r="673" spans="1:3" ht="12.75">
      <c r="A673" s="6" t="str">
        <f>A672</f>
        <v>rs16695</v>
      </c>
      <c r="B673" s="1">
        <v>2</v>
      </c>
      <c r="C673" s="2">
        <f>88/160</f>
        <v>0.55</v>
      </c>
    </row>
    <row r="674" spans="1:3" ht="12.75">
      <c r="A674" s="6" t="s">
        <v>92</v>
      </c>
      <c r="B674" s="1">
        <v>1</v>
      </c>
      <c r="C674" s="2">
        <v>0.35625</v>
      </c>
    </row>
    <row r="675" spans="1:3" ht="12.75">
      <c r="A675" s="6" t="str">
        <f>A674</f>
        <v>rs16715</v>
      </c>
      <c r="B675" s="1">
        <v>2</v>
      </c>
      <c r="C675" s="2">
        <f>103/160</f>
        <v>0.64375</v>
      </c>
    </row>
    <row r="676" spans="1:3" ht="12.75">
      <c r="A676" s="6" t="s">
        <v>103</v>
      </c>
      <c r="B676" s="1">
        <v>1</v>
      </c>
      <c r="C676" s="2">
        <f>76/160</f>
        <v>0.475</v>
      </c>
    </row>
    <row r="677" spans="1:3" ht="12.75">
      <c r="A677" s="6" t="str">
        <f>A676</f>
        <v>rs2067180</v>
      </c>
      <c r="B677" s="1">
        <v>2</v>
      </c>
      <c r="C677" s="2">
        <f>84/160</f>
        <v>0.525</v>
      </c>
    </row>
    <row r="678" spans="1:3" ht="12.75">
      <c r="A678" s="6" t="s">
        <v>104</v>
      </c>
      <c r="B678" s="1">
        <v>1</v>
      </c>
      <c r="C678" s="2">
        <f>67/160</f>
        <v>0.41875</v>
      </c>
    </row>
    <row r="679" spans="1:3" ht="12.75">
      <c r="A679" s="6" t="str">
        <f>A678</f>
        <v>rs2067188</v>
      </c>
      <c r="B679" s="1">
        <v>2</v>
      </c>
      <c r="C679" s="2">
        <f>93/160</f>
        <v>0.58125</v>
      </c>
    </row>
    <row r="680" spans="1:3" ht="12.75">
      <c r="A680" s="6" t="s">
        <v>105</v>
      </c>
      <c r="B680" s="1">
        <v>1</v>
      </c>
      <c r="C680" s="2">
        <f>104/160</f>
        <v>0.65</v>
      </c>
    </row>
    <row r="681" spans="1:3" ht="12.75">
      <c r="A681" s="6" t="str">
        <f>A680</f>
        <v>rs2067217</v>
      </c>
      <c r="B681" s="1">
        <v>2</v>
      </c>
      <c r="C681" s="2">
        <f>56/160</f>
        <v>0.35</v>
      </c>
    </row>
    <row r="682" spans="1:3" ht="12.75">
      <c r="A682" s="6" t="s">
        <v>106</v>
      </c>
      <c r="B682" s="1">
        <v>1</v>
      </c>
      <c r="C682" s="2">
        <f>83/160</f>
        <v>0.51875</v>
      </c>
    </row>
    <row r="683" spans="1:3" ht="12.75">
      <c r="A683" s="6" t="str">
        <f>A682</f>
        <v>rs2067373</v>
      </c>
      <c r="B683" s="1">
        <v>2</v>
      </c>
      <c r="C683" s="2">
        <f>77/160</f>
        <v>0.48125</v>
      </c>
    </row>
    <row r="684" spans="1:3" ht="12.75">
      <c r="A684" s="6" t="s">
        <v>107</v>
      </c>
      <c r="B684" s="1">
        <v>1</v>
      </c>
      <c r="C684" s="2">
        <f>87/160</f>
        <v>0.54375</v>
      </c>
    </row>
    <row r="685" spans="1:3" ht="12.75">
      <c r="A685" s="6" t="str">
        <f>A684</f>
        <v>rs2307548</v>
      </c>
      <c r="B685" s="1">
        <v>2</v>
      </c>
      <c r="C685" s="2">
        <f>73/160</f>
        <v>0.45625</v>
      </c>
    </row>
    <row r="686" spans="1:3" ht="12.75">
      <c r="A686" s="6" t="s">
        <v>108</v>
      </c>
      <c r="B686" s="1">
        <v>1</v>
      </c>
      <c r="C686" s="2">
        <f>74/160</f>
        <v>0.4625</v>
      </c>
    </row>
    <row r="687" spans="1:3" ht="12.75">
      <c r="A687" s="6" t="str">
        <f>A686</f>
        <v>rs2307624</v>
      </c>
      <c r="B687" s="1">
        <v>2</v>
      </c>
      <c r="C687" s="2">
        <f>86/160</f>
        <v>0.5375</v>
      </c>
    </row>
    <row r="688" spans="1:3" ht="12.75">
      <c r="A688" s="6" t="s">
        <v>109</v>
      </c>
      <c r="B688" s="1">
        <v>1</v>
      </c>
      <c r="C688" s="2">
        <f>78/160</f>
        <v>0.4875</v>
      </c>
    </row>
    <row r="689" spans="1:3" ht="12.75">
      <c r="A689" s="6" t="str">
        <f>A688</f>
        <v>rs2307733</v>
      </c>
      <c r="B689" s="1">
        <v>2</v>
      </c>
      <c r="C689" s="2">
        <f>82/160</f>
        <v>0.5125</v>
      </c>
    </row>
    <row r="690" spans="1:3" ht="12.75">
      <c r="A690" s="6" t="s">
        <v>110</v>
      </c>
      <c r="B690" s="1">
        <v>1</v>
      </c>
      <c r="C690" s="2">
        <f>62/160</f>
        <v>0.3875</v>
      </c>
    </row>
    <row r="691" spans="1:3" ht="12.75">
      <c r="A691" s="6" t="str">
        <f>A690</f>
        <v>rs2307745</v>
      </c>
      <c r="B691" s="1">
        <v>2</v>
      </c>
      <c r="C691" s="2">
        <f>98/160</f>
        <v>0.6125</v>
      </c>
    </row>
    <row r="692" spans="1:3" ht="12.75">
      <c r="A692" s="6" t="s">
        <v>111</v>
      </c>
      <c r="B692" s="1">
        <v>1</v>
      </c>
      <c r="C692" s="2">
        <f>75/160</f>
        <v>0.46875</v>
      </c>
    </row>
    <row r="693" spans="1:3" ht="12.75">
      <c r="A693" s="6" t="str">
        <f>A692</f>
        <v>rs2307782</v>
      </c>
      <c r="B693" s="1">
        <v>2</v>
      </c>
      <c r="C693" s="2">
        <f>85/160</f>
        <v>0.53125</v>
      </c>
    </row>
    <row r="694" spans="1:3" ht="12.75">
      <c r="A694" s="6" t="s">
        <v>112</v>
      </c>
      <c r="B694" s="1">
        <v>1</v>
      </c>
      <c r="C694" s="2">
        <f>72/160</f>
        <v>0.45</v>
      </c>
    </row>
    <row r="695" spans="1:3" ht="12.75">
      <c r="A695" s="6" t="str">
        <f>A694</f>
        <v>rs2307838</v>
      </c>
      <c r="B695" s="1">
        <v>2</v>
      </c>
      <c r="C695" s="2">
        <f>88/160</f>
        <v>0.55</v>
      </c>
    </row>
    <row r="696" spans="1:3" ht="12.75">
      <c r="A696" s="6" t="s">
        <v>113</v>
      </c>
      <c r="B696" s="1">
        <v>1</v>
      </c>
      <c r="C696" s="2">
        <f>103/160</f>
        <v>0.64375</v>
      </c>
    </row>
    <row r="697" spans="1:3" ht="12.75">
      <c r="A697" s="6" t="str">
        <f>A696</f>
        <v>rs2307850</v>
      </c>
      <c r="B697" s="1">
        <v>2</v>
      </c>
      <c r="C697" s="2">
        <f>57/160</f>
        <v>0.35625</v>
      </c>
    </row>
    <row r="698" spans="1:3" ht="12.75">
      <c r="A698" s="6" t="s">
        <v>114</v>
      </c>
      <c r="B698" s="1">
        <v>1</v>
      </c>
      <c r="C698" s="2">
        <f>97/160</f>
        <v>0.60625</v>
      </c>
    </row>
    <row r="699" spans="1:3" ht="12.75">
      <c r="A699" s="6" t="str">
        <f>A698</f>
        <v>rs2307955</v>
      </c>
      <c r="B699" s="1">
        <v>2</v>
      </c>
      <c r="C699" s="2">
        <f>63/160</f>
        <v>0.39375</v>
      </c>
    </row>
    <row r="700" spans="1:3" ht="12.75">
      <c r="A700" s="6" t="s">
        <v>115</v>
      </c>
      <c r="B700" s="1">
        <v>1</v>
      </c>
      <c r="C700" s="2">
        <f>72/160</f>
        <v>0.45</v>
      </c>
    </row>
    <row r="701" spans="1:3" ht="12.75">
      <c r="A701" s="6" t="str">
        <f>A700</f>
        <v>rs2307959</v>
      </c>
      <c r="B701" s="1">
        <v>2</v>
      </c>
      <c r="C701" s="2">
        <f>88/160</f>
        <v>0.55</v>
      </c>
    </row>
    <row r="702" spans="1:3" ht="12.75">
      <c r="A702" s="6" t="s">
        <v>116</v>
      </c>
      <c r="B702" s="1">
        <v>1</v>
      </c>
      <c r="C702" s="2">
        <f>43/160</f>
        <v>0.26875</v>
      </c>
    </row>
    <row r="703" spans="1:3" ht="12.75">
      <c r="A703" s="6" t="str">
        <f>A702</f>
        <v>rs2308043</v>
      </c>
      <c r="B703" s="1">
        <v>2</v>
      </c>
      <c r="C703" s="2">
        <f>117/160</f>
        <v>0.73125</v>
      </c>
    </row>
    <row r="704" spans="1:3" ht="12.75">
      <c r="A704" s="6" t="s">
        <v>117</v>
      </c>
      <c r="B704" s="1">
        <v>1</v>
      </c>
      <c r="C704" s="2">
        <f>96/160</f>
        <v>0.6</v>
      </c>
    </row>
    <row r="705" spans="1:3" ht="12.75">
      <c r="A705" s="6" t="str">
        <f>A704</f>
        <v>rs2308057</v>
      </c>
      <c r="B705" s="1">
        <v>2</v>
      </c>
      <c r="C705" s="2">
        <f>64/160</f>
        <v>0.4</v>
      </c>
    </row>
    <row r="706" spans="1:3" ht="12.75">
      <c r="A706" s="6" t="s">
        <v>118</v>
      </c>
      <c r="B706" s="1">
        <v>1</v>
      </c>
      <c r="C706" s="2">
        <f>80/160</f>
        <v>0.5</v>
      </c>
    </row>
    <row r="707" spans="1:3" ht="12.75">
      <c r="A707" s="6" t="str">
        <f>A706</f>
        <v>rs2308135</v>
      </c>
      <c r="B707" s="1">
        <v>2</v>
      </c>
      <c r="C707" s="2">
        <v>0.5</v>
      </c>
    </row>
    <row r="708" spans="1:3" ht="12.75">
      <c r="A708" s="6" t="s">
        <v>119</v>
      </c>
      <c r="B708" s="1">
        <v>1</v>
      </c>
      <c r="C708" s="2">
        <f>102/160</f>
        <v>0.6375</v>
      </c>
    </row>
    <row r="709" spans="1:3" ht="12.75">
      <c r="A709" s="6" t="str">
        <f>A708</f>
        <v>rs2308144</v>
      </c>
      <c r="B709" s="1">
        <v>2</v>
      </c>
      <c r="C709" s="2">
        <f>58/160</f>
        <v>0.3625</v>
      </c>
    </row>
    <row r="710" spans="1:3" ht="12.75">
      <c r="A710" s="6" t="s">
        <v>80</v>
      </c>
      <c r="B710" s="1">
        <v>1</v>
      </c>
      <c r="C710" s="2">
        <f>93/160</f>
        <v>0.58125</v>
      </c>
    </row>
    <row r="711" spans="1:3" ht="12.75">
      <c r="A711" s="6" t="str">
        <f>A710</f>
        <v>rs3917</v>
      </c>
      <c r="B711" s="1">
        <v>2</v>
      </c>
      <c r="C711" s="2">
        <f>67/160</f>
        <v>0.41875</v>
      </c>
    </row>
    <row r="712" spans="1:3" ht="12.75">
      <c r="A712" s="6" t="s">
        <v>81</v>
      </c>
      <c r="B712" s="1">
        <v>1</v>
      </c>
      <c r="C712" s="2">
        <f>86/160</f>
        <v>0.5375</v>
      </c>
    </row>
    <row r="713" spans="1:3" ht="12.75">
      <c r="A713" s="6" t="str">
        <f>A712</f>
        <v>rs4181</v>
      </c>
      <c r="B713" s="1">
        <v>2</v>
      </c>
      <c r="C713" s="2">
        <f>74/160</f>
        <v>0.4625</v>
      </c>
    </row>
    <row r="714" spans="1:3" ht="12.75">
      <c r="A714" s="6" t="s">
        <v>82</v>
      </c>
      <c r="B714" s="1">
        <v>1</v>
      </c>
      <c r="C714" s="2">
        <f>91/160</f>
        <v>0.56875</v>
      </c>
    </row>
    <row r="715" spans="1:3" ht="12.75">
      <c r="A715" s="6" t="str">
        <f>A714</f>
        <v>rs4183</v>
      </c>
      <c r="B715" s="1">
        <v>2</v>
      </c>
      <c r="C715" s="2">
        <f>69/160</f>
        <v>0.43125</v>
      </c>
    </row>
    <row r="716" spans="1:3" ht="12.75">
      <c r="A716" s="1" t="s">
        <v>21</v>
      </c>
      <c r="B716" s="1">
        <v>14</v>
      </c>
      <c r="C716" s="2">
        <f>29/917</f>
        <v>0.03162486368593239</v>
      </c>
    </row>
    <row r="717" spans="1:3" ht="12.75">
      <c r="A717" s="1" t="s">
        <v>21</v>
      </c>
      <c r="B717" s="1">
        <v>15</v>
      </c>
      <c r="C717" s="2">
        <f>61/917</f>
        <v>0.06652126499454744</v>
      </c>
    </row>
    <row r="718" spans="1:3" ht="12.75">
      <c r="A718" s="1" t="s">
        <v>21</v>
      </c>
      <c r="B718" s="1">
        <v>16</v>
      </c>
      <c r="C718" s="2">
        <f>62/917</f>
        <v>0.06761177753544166</v>
      </c>
    </row>
    <row r="719" spans="1:3" ht="12.75">
      <c r="A719" s="1" t="s">
        <v>21</v>
      </c>
      <c r="B719" s="1">
        <v>17</v>
      </c>
      <c r="C719" s="2">
        <f>76/917</f>
        <v>0.08287895310796074</v>
      </c>
    </row>
    <row r="720" spans="1:3" ht="12.75">
      <c r="A720" s="1" t="s">
        <v>21</v>
      </c>
      <c r="B720" s="1">
        <v>18</v>
      </c>
      <c r="C720" s="2">
        <f>86/917</f>
        <v>0.09378407851690294</v>
      </c>
    </row>
    <row r="721" spans="1:3" ht="12.75">
      <c r="A721" s="1" t="s">
        <v>21</v>
      </c>
      <c r="B721" s="1">
        <v>19</v>
      </c>
      <c r="C721" s="2">
        <f>79/917</f>
        <v>0.0861504907306434</v>
      </c>
    </row>
    <row r="722" spans="1:3" ht="12.75">
      <c r="A722" s="1" t="s">
        <v>21</v>
      </c>
      <c r="B722" s="1">
        <v>20</v>
      </c>
      <c r="C722" s="2">
        <f>52/917</f>
        <v>0.05670665212649945</v>
      </c>
    </row>
    <row r="723" spans="1:3" ht="12.75">
      <c r="A723" s="1" t="s">
        <v>21</v>
      </c>
      <c r="B723" s="1">
        <v>21</v>
      </c>
      <c r="C723" s="2">
        <f>35/917</f>
        <v>0.03816793893129771</v>
      </c>
    </row>
    <row r="724" spans="1:3" ht="12.75">
      <c r="A724" s="1" t="s">
        <v>21</v>
      </c>
      <c r="B724" s="1">
        <v>22.2</v>
      </c>
      <c r="C724" s="2">
        <f>36/917</f>
        <v>0.03925845147219193</v>
      </c>
    </row>
    <row r="725" spans="1:3" ht="12.75">
      <c r="A725" s="1" t="s">
        <v>21</v>
      </c>
      <c r="B725" s="1">
        <v>23.2</v>
      </c>
      <c r="C725" s="2">
        <f>33/917</f>
        <v>0.03598691384950927</v>
      </c>
    </row>
    <row r="726" spans="1:3" ht="12.75">
      <c r="A726" s="1" t="s">
        <v>21</v>
      </c>
      <c r="B726" s="1">
        <v>24.2</v>
      </c>
      <c r="C726" s="2">
        <f>40/917</f>
        <v>0.04362050163576881</v>
      </c>
    </row>
    <row r="727" spans="1:3" ht="12.75">
      <c r="A727" s="1" t="s">
        <v>21</v>
      </c>
      <c r="B727" s="1">
        <v>25.2</v>
      </c>
      <c r="C727" s="2">
        <f>46/917</f>
        <v>0.05016357688113413</v>
      </c>
    </row>
    <row r="728" spans="1:3" ht="12.75">
      <c r="A728" s="1" t="s">
        <v>21</v>
      </c>
      <c r="B728" s="1">
        <v>26.2</v>
      </c>
      <c r="C728" s="2">
        <f>73/917</f>
        <v>0.07960741548527808</v>
      </c>
    </row>
    <row r="729" spans="1:3" ht="12.75">
      <c r="A729" s="1" t="s">
        <v>21</v>
      </c>
      <c r="B729" s="1">
        <v>27.2</v>
      </c>
      <c r="C729" s="2">
        <f>90/917</f>
        <v>0.09814612868047982</v>
      </c>
    </row>
    <row r="730" spans="1:3" ht="12.75">
      <c r="A730" s="1" t="s">
        <v>21</v>
      </c>
      <c r="B730" s="1">
        <v>28.2</v>
      </c>
      <c r="C730" s="2">
        <f>47/917</f>
        <v>0.05125408942202835</v>
      </c>
    </row>
    <row r="731" spans="1:3" ht="12.75">
      <c r="A731" s="1" t="s">
        <v>21</v>
      </c>
      <c r="B731" s="1">
        <v>29.2</v>
      </c>
      <c r="C731" s="2">
        <f>37/917</f>
        <v>0.04034896401308615</v>
      </c>
    </row>
    <row r="732" spans="1:3" ht="12.75">
      <c r="A732" s="1" t="s">
        <v>21</v>
      </c>
      <c r="B732" s="1">
        <v>30.2</v>
      </c>
      <c r="C732" s="2">
        <f>35/917</f>
        <v>0.03816793893129771</v>
      </c>
    </row>
    <row r="733" spans="1:3" ht="12.75">
      <c r="A733" s="1" t="s">
        <v>1</v>
      </c>
      <c r="B733" s="1">
        <v>6</v>
      </c>
      <c r="C733" s="2">
        <f>205/995</f>
        <v>0.20603015075376885</v>
      </c>
    </row>
    <row r="734" spans="1:3" ht="12.75">
      <c r="A734" s="1" t="s">
        <v>1</v>
      </c>
      <c r="B734" s="1">
        <v>7</v>
      </c>
      <c r="C734" s="2">
        <f>227/995</f>
        <v>0.22814070351758794</v>
      </c>
    </row>
    <row r="735" spans="1:3" ht="12.75">
      <c r="A735" s="1" t="s">
        <v>1</v>
      </c>
      <c r="B735" s="1">
        <v>8</v>
      </c>
      <c r="C735" s="2">
        <f>142/995</f>
        <v>0.14271356783919598</v>
      </c>
    </row>
    <row r="736" spans="1:3" ht="12.75">
      <c r="A736" s="1" t="s">
        <v>1</v>
      </c>
      <c r="B736" s="1">
        <v>9</v>
      </c>
      <c r="C736" s="2">
        <f>204/995</f>
        <v>0.2050251256281407</v>
      </c>
    </row>
    <row r="737" spans="1:3" ht="12.75">
      <c r="A737" s="1" t="s">
        <v>1</v>
      </c>
      <c r="B737" s="1">
        <v>9.3</v>
      </c>
      <c r="C737" s="2">
        <f>217/995</f>
        <v>0.21809045226130652</v>
      </c>
    </row>
    <row r="738" spans="1:3" ht="12.75">
      <c r="A738" s="1" t="s">
        <v>0</v>
      </c>
      <c r="B738" s="1">
        <v>8</v>
      </c>
      <c r="C738" s="2">
        <f>445/984</f>
        <v>0.45223577235772355</v>
      </c>
    </row>
    <row r="739" spans="1:3" ht="12.75">
      <c r="A739" s="1" t="s">
        <v>0</v>
      </c>
      <c r="B739" s="1">
        <v>9</v>
      </c>
      <c r="C739" s="2">
        <f>126/984</f>
        <v>0.12804878048780488</v>
      </c>
    </row>
    <row r="740" spans="1:3" ht="12.75">
      <c r="A740" s="1" t="s">
        <v>0</v>
      </c>
      <c r="B740" s="1">
        <v>10</v>
      </c>
      <c r="C740" s="2">
        <f>74/984</f>
        <v>0.07520325203252033</v>
      </c>
    </row>
    <row r="741" spans="1:3" ht="12.75">
      <c r="A741" s="1" t="s">
        <v>0</v>
      </c>
      <c r="B741" s="1">
        <v>11</v>
      </c>
      <c r="C741" s="2">
        <f>291/984</f>
        <v>0.29573170731707316</v>
      </c>
    </row>
    <row r="742" spans="1:3" ht="12.75">
      <c r="A742" s="1" t="s">
        <v>0</v>
      </c>
      <c r="B742" s="1">
        <v>12</v>
      </c>
      <c r="C742" s="2">
        <f>48/984</f>
        <v>0.04878048780487805</v>
      </c>
    </row>
    <row r="743" spans="1:3" ht="12.75">
      <c r="A743" s="1" t="s">
        <v>45</v>
      </c>
      <c r="B743" s="1">
        <v>14</v>
      </c>
      <c r="C743" s="2">
        <f>84/992</f>
        <v>0.0846774193548387</v>
      </c>
    </row>
    <row r="744" spans="1:3" ht="12.75">
      <c r="A744" s="1" t="s">
        <v>45</v>
      </c>
      <c r="B744" s="1">
        <v>15</v>
      </c>
      <c r="C744" s="2">
        <f>123/992</f>
        <v>0.12399193548387097</v>
      </c>
    </row>
    <row r="745" spans="1:3" ht="12.75">
      <c r="A745" s="1" t="s">
        <v>45</v>
      </c>
      <c r="B745" s="1">
        <v>16</v>
      </c>
      <c r="C745" s="2">
        <f>246/992</f>
        <v>0.24798387096774194</v>
      </c>
    </row>
    <row r="746" spans="1:3" ht="12.75">
      <c r="A746" s="1" t="s">
        <v>45</v>
      </c>
      <c r="B746" s="1">
        <v>17</v>
      </c>
      <c r="C746" s="2">
        <f>274/992</f>
        <v>0.2762096774193548</v>
      </c>
    </row>
    <row r="747" spans="1:3" ht="12.75">
      <c r="A747" s="1" t="s">
        <v>45</v>
      </c>
      <c r="B747" s="1">
        <v>18</v>
      </c>
      <c r="C747" s="2">
        <f>184/992</f>
        <v>0.18548387096774194</v>
      </c>
    </row>
    <row r="748" spans="1:3" ht="12.75">
      <c r="A748" s="1" t="s">
        <v>45</v>
      </c>
      <c r="B748" s="1">
        <v>19</v>
      </c>
      <c r="C748" s="2">
        <f>61/992</f>
        <v>0.06149193548387097</v>
      </c>
    </row>
    <row r="749" spans="1:3" ht="13.5" thickBot="1">
      <c r="A749" s="1" t="s">
        <v>45</v>
      </c>
      <c r="B749" s="1">
        <v>20</v>
      </c>
      <c r="C749" s="2">
        <f>20/992</f>
        <v>0.020161290322580645</v>
      </c>
    </row>
    <row r="750" spans="1:2" ht="13.5" thickBot="1">
      <c r="A750" s="8"/>
      <c r="B750" s="9"/>
    </row>
    <row r="751" spans="1:2" ht="13.5" thickBot="1">
      <c r="A751" s="10"/>
      <c r="B751" s="11"/>
    </row>
    <row r="752" spans="1:2" ht="13.5" thickBot="1">
      <c r="A752" s="10"/>
      <c r="B752" s="11"/>
    </row>
    <row r="753" spans="1:2" ht="13.5" thickBot="1">
      <c r="A753" s="10"/>
      <c r="B753" s="11"/>
    </row>
    <row r="754" spans="1:2" ht="13.5" thickBot="1">
      <c r="A754" s="10"/>
      <c r="B754" s="11"/>
    </row>
    <row r="755" spans="1:2" ht="13.5" thickBot="1">
      <c r="A755" s="10"/>
      <c r="B755" s="11"/>
    </row>
    <row r="756" spans="1:2" ht="13.5" thickBot="1">
      <c r="A756" s="10"/>
      <c r="B756" s="11"/>
    </row>
    <row r="757" spans="1:2" ht="13.5" thickBot="1">
      <c r="A757" s="10"/>
      <c r="B757" s="11"/>
    </row>
    <row r="758" spans="1:2" ht="13.5" thickBot="1">
      <c r="A758" s="10"/>
      <c r="B758" s="11"/>
    </row>
    <row r="759" spans="1:2" ht="13.5" thickBot="1">
      <c r="A759" s="10"/>
      <c r="B759" s="11"/>
    </row>
    <row r="760" spans="1:2" ht="13.5" thickBot="1">
      <c r="A760" s="10"/>
      <c r="B760" s="11"/>
    </row>
    <row r="761" spans="1:2" ht="13.5" thickBot="1">
      <c r="A761" s="10"/>
      <c r="B761" s="11"/>
    </row>
    <row r="762" spans="1:2" ht="13.5" thickBot="1">
      <c r="A762" s="10"/>
      <c r="B762" s="11"/>
    </row>
    <row r="763" spans="1:2" ht="13.5" thickBot="1">
      <c r="A763" s="10"/>
      <c r="B763" s="11"/>
    </row>
    <row r="764" spans="1:2" ht="13.5" thickBot="1">
      <c r="A764" s="10"/>
      <c r="B764" s="11"/>
    </row>
    <row r="765" spans="1:2" ht="13.5" thickBot="1">
      <c r="A765" s="10"/>
      <c r="B765" s="11"/>
    </row>
    <row r="766" spans="1:2" ht="13.5" thickBot="1">
      <c r="A766" s="10"/>
      <c r="B766" s="11"/>
    </row>
    <row r="767" spans="1:2" ht="13.5" thickBot="1">
      <c r="A767" s="10"/>
      <c r="B767" s="11"/>
    </row>
    <row r="768" spans="1:2" ht="13.5" thickBot="1">
      <c r="A768" s="10"/>
      <c r="B768" s="11"/>
    </row>
    <row r="769" spans="1:2" ht="13.5" thickBot="1">
      <c r="A769" s="10"/>
      <c r="B769" s="11"/>
    </row>
    <row r="770" spans="1:2" ht="13.5" thickBot="1">
      <c r="A770" s="10"/>
      <c r="B770" s="11"/>
    </row>
    <row r="771" spans="1:2" ht="13.5" thickBot="1">
      <c r="A771" s="10"/>
      <c r="B771" s="11"/>
    </row>
    <row r="772" spans="1:2" ht="13.5" thickBot="1">
      <c r="A772" s="10"/>
      <c r="B772" s="11"/>
    </row>
    <row r="773" spans="1:2" ht="13.5" thickBot="1">
      <c r="A773" s="10"/>
      <c r="B773" s="11"/>
    </row>
    <row r="774" spans="1:2" ht="13.5" thickBot="1">
      <c r="A774" s="10"/>
      <c r="B774" s="11"/>
    </row>
    <row r="775" spans="1:2" ht="13.5" thickBot="1">
      <c r="A775" s="10"/>
      <c r="B775" s="11"/>
    </row>
    <row r="776" spans="1:2" ht="13.5" thickBot="1">
      <c r="A776" s="10"/>
      <c r="B776" s="11"/>
    </row>
    <row r="777" spans="1:2" ht="13.5" thickBot="1">
      <c r="A777" s="10"/>
      <c r="B777" s="11"/>
    </row>
    <row r="778" spans="1:2" ht="13.5" thickBot="1">
      <c r="A778" s="10"/>
      <c r="B778" s="11"/>
    </row>
    <row r="779" spans="1:2" ht="13.5" thickBot="1">
      <c r="A779" s="10"/>
      <c r="B779" s="11"/>
    </row>
    <row r="780" spans="1:2" ht="13.5" thickBot="1">
      <c r="A780" s="10"/>
      <c r="B780" s="11"/>
    </row>
    <row r="781" spans="1:2" ht="13.5" thickBot="1">
      <c r="A781" s="10"/>
      <c r="B781" s="11"/>
    </row>
    <row r="782" spans="1:2" ht="13.5" thickBot="1">
      <c r="A782" s="10"/>
      <c r="B782" s="11"/>
    </row>
    <row r="783" spans="1:2" ht="13.5" thickBot="1">
      <c r="A783" s="10"/>
      <c r="B783" s="11"/>
    </row>
    <row r="784" spans="1:2" ht="13.5" thickBot="1">
      <c r="A784" s="10"/>
      <c r="B784" s="11"/>
    </row>
    <row r="785" spans="1:2" ht="13.5" thickBot="1">
      <c r="A785" s="10"/>
      <c r="B785" s="11"/>
    </row>
    <row r="786" spans="1:2" ht="13.5" thickBot="1">
      <c r="A786" s="10"/>
      <c r="B786" s="11"/>
    </row>
    <row r="787" spans="1:2" ht="13.5" thickBot="1">
      <c r="A787" s="10"/>
      <c r="B787" s="11"/>
    </row>
    <row r="788" spans="1:2" ht="13.5" thickBot="1">
      <c r="A788" s="10"/>
      <c r="B788" s="11"/>
    </row>
    <row r="789" spans="1:2" ht="13.5" thickBot="1">
      <c r="A789" s="10"/>
      <c r="B789" s="11"/>
    </row>
    <row r="790" spans="1:2" ht="13.5" thickBot="1">
      <c r="A790" s="10"/>
      <c r="B790" s="11"/>
    </row>
    <row r="791" spans="1:2" ht="13.5" thickBot="1">
      <c r="A791" s="10"/>
      <c r="B791" s="11"/>
    </row>
    <row r="792" spans="1:2" ht="13.5" thickBot="1">
      <c r="A792" s="10"/>
      <c r="B792" s="11"/>
    </row>
    <row r="793" spans="1:2" ht="13.5" thickBot="1">
      <c r="A793" s="10"/>
      <c r="B793" s="11"/>
    </row>
    <row r="794" spans="1:2" ht="13.5" thickBot="1">
      <c r="A794" s="10"/>
      <c r="B794" s="11"/>
    </row>
    <row r="795" spans="1:2" ht="13.5" thickBot="1">
      <c r="A795" s="10"/>
      <c r="B795" s="11"/>
    </row>
    <row r="796" spans="1:2" ht="13.5" thickBot="1">
      <c r="A796" s="10"/>
      <c r="B796" s="11"/>
    </row>
    <row r="797" spans="1:2" ht="13.5" thickBot="1">
      <c r="A797" s="10"/>
      <c r="B797" s="11"/>
    </row>
    <row r="798" spans="1:2" ht="13.5" thickBot="1">
      <c r="A798" s="10"/>
      <c r="B798" s="11"/>
    </row>
    <row r="799" spans="1:2" ht="13.5" thickBot="1">
      <c r="A799" s="10"/>
      <c r="B799" s="11"/>
    </row>
    <row r="800" spans="1:2" ht="13.5" thickBot="1">
      <c r="A800" s="10"/>
      <c r="B800" s="11"/>
    </row>
    <row r="801" spans="1:2" ht="13.5" thickBot="1">
      <c r="A801" s="10"/>
      <c r="B801" s="11"/>
    </row>
    <row r="802" spans="1:2" ht="13.5" thickBot="1">
      <c r="A802" s="10"/>
      <c r="B802" s="11"/>
    </row>
    <row r="803" spans="1:2" ht="13.5" thickBot="1">
      <c r="A803" s="10"/>
      <c r="B803" s="11"/>
    </row>
    <row r="804" spans="1:2" ht="13.5" thickBot="1">
      <c r="A804" s="10"/>
      <c r="B804" s="11"/>
    </row>
    <row r="805" spans="1:2" ht="13.5" thickBot="1">
      <c r="A805" s="10"/>
      <c r="B805" s="11"/>
    </row>
    <row r="806" spans="1:2" ht="12.75">
      <c r="A806" s="16"/>
      <c r="B806" s="17"/>
    </row>
    <row r="807" spans="1:2" ht="12.75">
      <c r="A807" s="16"/>
      <c r="B807" s="17"/>
    </row>
    <row r="808" spans="1:2" ht="12.75">
      <c r="A808" s="16"/>
      <c r="B808" s="17"/>
    </row>
    <row r="809" spans="1:2" ht="12.75">
      <c r="A809" s="16"/>
      <c r="B809" s="17"/>
    </row>
    <row r="810" spans="1:2" ht="12.75">
      <c r="A810" s="16"/>
      <c r="B810" s="17"/>
    </row>
    <row r="811" spans="1:2" ht="12.75">
      <c r="A811" s="16"/>
      <c r="B811" s="17"/>
    </row>
    <row r="812" spans="1:2" ht="12.75">
      <c r="A812" s="16"/>
      <c r="B812" s="17"/>
    </row>
    <row r="813" spans="1:2" ht="12.75">
      <c r="A813" s="16"/>
      <c r="B813" s="17"/>
    </row>
    <row r="814" spans="1:2" ht="12.75">
      <c r="A814" s="16"/>
      <c r="B814" s="17"/>
    </row>
    <row r="815" spans="1:2" ht="12.75">
      <c r="A815" s="16"/>
      <c r="B815" s="17"/>
    </row>
    <row r="816" spans="1:2" ht="12.75">
      <c r="A816" s="16"/>
      <c r="B816" s="17"/>
    </row>
    <row r="817" spans="1:2" ht="12.75">
      <c r="A817" s="16"/>
      <c r="B817" s="17"/>
    </row>
    <row r="818" spans="1:2" ht="12.75">
      <c r="A818" s="16"/>
      <c r="B818" s="17"/>
    </row>
    <row r="819" spans="1:2" ht="12.75">
      <c r="A819" s="16"/>
      <c r="B819" s="17"/>
    </row>
    <row r="820" spans="1:2" ht="12.75">
      <c r="A820" s="16"/>
      <c r="B820" s="17"/>
    </row>
    <row r="821" spans="1:2" ht="12.75">
      <c r="A821" s="16"/>
      <c r="B821" s="17"/>
    </row>
    <row r="822" spans="1:2" ht="12.75">
      <c r="A822" s="16"/>
      <c r="B822" s="17"/>
    </row>
    <row r="823" spans="1:2" ht="12.75">
      <c r="A823" s="16"/>
      <c r="B823" s="17"/>
    </row>
    <row r="824" spans="1:2" ht="12.75">
      <c r="A824" s="18"/>
      <c r="B824" s="19"/>
    </row>
    <row r="825" spans="1:2" ht="12.75">
      <c r="A825" s="18"/>
      <c r="B825" s="17"/>
    </row>
    <row r="826" spans="1:2" ht="12.75">
      <c r="A826" s="18"/>
      <c r="B826" s="17"/>
    </row>
    <row r="827" spans="1:2" ht="12.75">
      <c r="A827" s="18"/>
      <c r="B827" s="17"/>
    </row>
    <row r="828" spans="1:2" ht="12.75">
      <c r="A828" s="18"/>
      <c r="B828" s="17"/>
    </row>
    <row r="829" spans="1:2" ht="12.75">
      <c r="A829" s="18"/>
      <c r="B829" s="17"/>
    </row>
    <row r="830" spans="1:2" ht="12.75">
      <c r="A830" s="18"/>
      <c r="B830" s="17"/>
    </row>
    <row r="831" spans="1:2" ht="12.75">
      <c r="A831" s="16"/>
      <c r="B831" s="17"/>
    </row>
    <row r="832" spans="1:2" ht="12.75">
      <c r="A832" s="16"/>
      <c r="B832" s="17"/>
    </row>
    <row r="833" spans="1:2" ht="12.75">
      <c r="A833" s="16"/>
      <c r="B833" s="17"/>
    </row>
    <row r="834" spans="1:2" ht="12.75">
      <c r="A834" s="16"/>
      <c r="B834" s="17"/>
    </row>
    <row r="835" spans="1:2" ht="12.75">
      <c r="A835" s="16"/>
      <c r="B835" s="17"/>
    </row>
    <row r="836" spans="1:2" ht="12.75">
      <c r="A836" s="16"/>
      <c r="B836" s="17"/>
    </row>
    <row r="837" spans="1:2" ht="12.75">
      <c r="A837" s="16"/>
      <c r="B837" s="17"/>
    </row>
    <row r="838" spans="1:2" ht="12.75">
      <c r="A838" s="16"/>
      <c r="B838" s="17"/>
    </row>
    <row r="839" spans="1:2" ht="12.75">
      <c r="A839" s="18"/>
      <c r="B839" s="17"/>
    </row>
    <row r="840" spans="1:2" ht="12.75">
      <c r="A840" s="18"/>
      <c r="B840" s="17"/>
    </row>
    <row r="841" spans="1:2" ht="12.75">
      <c r="A841" s="18"/>
      <c r="B841" s="17"/>
    </row>
    <row r="842" spans="1:2" ht="12.75">
      <c r="A842" s="18"/>
      <c r="B842" s="17"/>
    </row>
    <row r="843" spans="1:2" ht="12.75">
      <c r="A843" s="18"/>
      <c r="B843" s="17"/>
    </row>
    <row r="844" spans="1:2" ht="12.75">
      <c r="A844" s="18"/>
      <c r="B844" s="17"/>
    </row>
    <row r="845" spans="1:2" ht="12.75">
      <c r="A845" s="18"/>
      <c r="B845" s="17"/>
    </row>
    <row r="846" spans="1:2" ht="12.75">
      <c r="A846" s="18"/>
      <c r="B846" s="17"/>
    </row>
    <row r="847" spans="1:2" ht="12.75">
      <c r="A847" s="18"/>
      <c r="B847" s="17"/>
    </row>
    <row r="848" spans="1:2" ht="12.75">
      <c r="A848" s="16"/>
      <c r="B848" s="17"/>
    </row>
    <row r="849" spans="1:2" ht="12.75">
      <c r="A849" s="16"/>
      <c r="B849" s="17"/>
    </row>
    <row r="850" spans="1:2" ht="12.75">
      <c r="A850" s="16"/>
      <c r="B850" s="17"/>
    </row>
    <row r="851" spans="1:2" ht="12.75">
      <c r="A851" s="16"/>
      <c r="B851" s="17"/>
    </row>
    <row r="852" spans="1:2" ht="12.75">
      <c r="A852" s="16"/>
      <c r="B852" s="17"/>
    </row>
    <row r="853" spans="1:2" ht="12.75">
      <c r="A853" s="20"/>
      <c r="B853" s="17"/>
    </row>
    <row r="854" spans="1:2" ht="12.75">
      <c r="A854" s="20"/>
      <c r="B854" s="17"/>
    </row>
    <row r="855" spans="1:2" ht="12.75">
      <c r="A855" s="20"/>
      <c r="B855" s="17"/>
    </row>
    <row r="856" spans="1:2" ht="12.75">
      <c r="A856" s="20"/>
      <c r="B856" s="17"/>
    </row>
    <row r="857" spans="1:2" ht="12.75">
      <c r="A857" s="20"/>
      <c r="B857" s="17"/>
    </row>
    <row r="858" spans="1:2" ht="12.75">
      <c r="A858" s="20"/>
      <c r="B858" s="17"/>
    </row>
    <row r="859" spans="1:2" ht="12.75">
      <c r="A859" s="20"/>
      <c r="B859" s="17"/>
    </row>
    <row r="860" spans="1:2" ht="12.75">
      <c r="A860" s="16"/>
      <c r="B860" s="17"/>
    </row>
    <row r="861" spans="1:2" ht="12.75">
      <c r="A861" s="16"/>
      <c r="B861" s="17"/>
    </row>
    <row r="862" spans="1:2" ht="12.75">
      <c r="A862" s="16"/>
      <c r="B862" s="17"/>
    </row>
    <row r="863" spans="1:2" ht="12.75">
      <c r="A863" s="16"/>
      <c r="B863" s="17"/>
    </row>
    <row r="864" spans="1:2" ht="12.75">
      <c r="A864" s="16"/>
      <c r="B864" s="17"/>
    </row>
    <row r="865" spans="1:2" ht="12.75">
      <c r="A865" s="20"/>
      <c r="B865" s="17"/>
    </row>
    <row r="866" spans="1:2" ht="12.75">
      <c r="A866" s="20"/>
      <c r="B866" s="17"/>
    </row>
    <row r="867" spans="1:2" ht="12.75">
      <c r="A867" s="20"/>
      <c r="B867" s="17"/>
    </row>
    <row r="868" spans="1:2" ht="12.75">
      <c r="A868" s="20"/>
      <c r="B868" s="17"/>
    </row>
    <row r="869" spans="1:2" ht="12.75">
      <c r="A869" s="20"/>
      <c r="B869" s="17"/>
    </row>
  </sheetData>
  <sheetProtection/>
  <conditionalFormatting sqref="A667:B65536 B2:B370 A2:A376 A377:B586">
    <cfRule type="cellIs" priority="5" dxfId="0" operator="lessThan" stopIfTrue="1">
      <formula>0.02</formula>
    </cfRule>
  </conditionalFormatting>
  <conditionalFormatting sqref="A587:B666">
    <cfRule type="cellIs" priority="1" dxfId="0" operator="lessThan" stopIfTrue="1">
      <formula>0.02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Sergio Pena</cp:lastModifiedBy>
  <cp:lastPrinted>2007-07-03T21:07:09Z</cp:lastPrinted>
  <dcterms:created xsi:type="dcterms:W3CDTF">2007-07-02T16:28:33Z</dcterms:created>
  <dcterms:modified xsi:type="dcterms:W3CDTF">2023-03-12T16:48:57Z</dcterms:modified>
  <cp:category/>
  <cp:version/>
  <cp:contentType/>
  <cp:contentStatus/>
</cp:coreProperties>
</file>